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bancojuliosigb.com\users\carpetas\marieschi\Downloads\"/>
    </mc:Choice>
  </mc:AlternateContent>
  <bookViews>
    <workbookView xWindow="0" yWindow="0" windowWidth="20490" windowHeight="7020"/>
  </bookViews>
  <sheets>
    <sheet name="Leasing_BancoJulio" sheetId="1" r:id="rId1"/>
  </sheets>
  <definedNames>
    <definedName name="_xlnm.Print_Area" localSheetId="0">Leasing_BancoJulio!$B$33:$J$85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45" i="1" l="1"/>
  <c r="G16" i="1"/>
  <c r="I44" i="1" l="1"/>
  <c r="G7" i="1"/>
  <c r="G8" i="1"/>
  <c r="L21" i="1" l="1"/>
  <c r="D43" i="1"/>
  <c r="D42" i="1"/>
  <c r="D41" i="1"/>
  <c r="E44" i="1" l="1"/>
  <c r="I45" i="1" s="1"/>
  <c r="F33" i="1"/>
  <c r="L49" i="1" l="1"/>
  <c r="L50" i="1" l="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G24" i="1" l="1"/>
  <c r="I41" i="1"/>
  <c r="G21" i="1"/>
  <c r="E81" i="1" l="1"/>
  <c r="G20" i="1"/>
  <c r="F52" i="1"/>
  <c r="I42" i="1"/>
  <c r="E51" i="1"/>
  <c r="E70" i="1"/>
  <c r="E55" i="1"/>
  <c r="E59" i="1"/>
  <c r="E63" i="1"/>
  <c r="E67" i="1"/>
  <c r="E71" i="1"/>
  <c r="E75" i="1"/>
  <c r="E79" i="1"/>
  <c r="E53" i="1"/>
  <c r="E57" i="1"/>
  <c r="E65" i="1"/>
  <c r="E73" i="1"/>
  <c r="E77" i="1"/>
  <c r="E54" i="1"/>
  <c r="E62" i="1"/>
  <c r="E74" i="1"/>
  <c r="E52" i="1"/>
  <c r="E56" i="1"/>
  <c r="E60" i="1"/>
  <c r="E64" i="1"/>
  <c r="E68" i="1"/>
  <c r="E72" i="1"/>
  <c r="E76" i="1"/>
  <c r="E80" i="1"/>
  <c r="E61" i="1"/>
  <c r="E69" i="1"/>
  <c r="E58" i="1"/>
  <c r="E66" i="1"/>
  <c r="E78" i="1"/>
  <c r="E47" i="1"/>
  <c r="E45" i="1" s="1"/>
  <c r="D51" i="1" l="1"/>
  <c r="F51" i="1" s="1"/>
  <c r="G51" i="1" s="1"/>
  <c r="F56" i="1"/>
  <c r="F76" i="1"/>
  <c r="F73" i="1"/>
  <c r="F71" i="1"/>
  <c r="F70" i="1"/>
  <c r="F64" i="1"/>
  <c r="F57" i="1"/>
  <c r="F55" i="1"/>
  <c r="F54" i="1"/>
  <c r="F53" i="1"/>
  <c r="G53" i="1" s="1"/>
  <c r="F69" i="1"/>
  <c r="F67" i="1"/>
  <c r="F66" i="1"/>
  <c r="F60" i="1"/>
  <c r="F80" i="1"/>
  <c r="F77" i="1"/>
  <c r="F75" i="1"/>
  <c r="F74" i="1"/>
  <c r="F68" i="1"/>
  <c r="F61" i="1"/>
  <c r="F59" i="1"/>
  <c r="F58" i="1"/>
  <c r="F81" i="1"/>
  <c r="F79" i="1"/>
  <c r="F78" i="1"/>
  <c r="F72" i="1"/>
  <c r="F65" i="1"/>
  <c r="F63" i="1"/>
  <c r="F62" i="1"/>
  <c r="H51" i="1" l="1"/>
  <c r="I51" i="1" s="1"/>
  <c r="D52" i="1"/>
  <c r="E46" i="1"/>
  <c r="G81" i="1"/>
  <c r="G78" i="1"/>
  <c r="G61" i="1"/>
  <c r="G77" i="1"/>
  <c r="G56" i="1"/>
  <c r="G52" i="1"/>
  <c r="G59" i="1"/>
  <c r="G75" i="1"/>
  <c r="G55" i="1"/>
  <c r="G71" i="1"/>
  <c r="G76" i="1"/>
  <c r="G68" i="1"/>
  <c r="G64" i="1"/>
  <c r="G58" i="1"/>
  <c r="G74" i="1"/>
  <c r="G79" i="1"/>
  <c r="G54" i="1"/>
  <c r="G70" i="1"/>
  <c r="G65" i="1"/>
  <c r="G72" i="1"/>
  <c r="G67" i="1"/>
  <c r="G57" i="1"/>
  <c r="G73" i="1"/>
  <c r="G80" i="1"/>
  <c r="G60" i="1"/>
  <c r="G69" i="1"/>
  <c r="G62" i="1"/>
  <c r="G63" i="1"/>
  <c r="G66" i="1"/>
  <c r="M68" i="1" l="1"/>
  <c r="M56" i="1"/>
  <c r="M52" i="1"/>
  <c r="M73" i="1"/>
  <c r="M75" i="1"/>
  <c r="M58" i="1"/>
  <c r="M60" i="1"/>
  <c r="M50" i="1"/>
  <c r="M62" i="1"/>
  <c r="M79" i="1"/>
  <c r="M71" i="1"/>
  <c r="M53" i="1"/>
  <c r="M63" i="1"/>
  <c r="M54" i="1"/>
  <c r="M55" i="1"/>
  <c r="M80" i="1"/>
  <c r="M61" i="1"/>
  <c r="M72" i="1"/>
  <c r="M64" i="1"/>
  <c r="M78" i="1"/>
  <c r="M67" i="1"/>
  <c r="M74" i="1"/>
  <c r="M76" i="1"/>
  <c r="M65" i="1"/>
  <c r="M59" i="1"/>
  <c r="M66" i="1"/>
  <c r="M69" i="1"/>
  <c r="M57" i="1"/>
  <c r="M70" i="1"/>
  <c r="M51" i="1"/>
  <c r="M77" i="1"/>
  <c r="D53" i="1"/>
  <c r="D54" i="1" s="1"/>
  <c r="H78" i="1"/>
  <c r="I78" i="1" s="1"/>
  <c r="H81" i="1"/>
  <c r="I81" i="1" s="1"/>
  <c r="H52" i="1"/>
  <c r="I52" i="1" s="1"/>
  <c r="H67" i="1"/>
  <c r="I67" i="1" s="1"/>
  <c r="H74" i="1"/>
  <c r="I74" i="1" s="1"/>
  <c r="H56" i="1"/>
  <c r="I56" i="1" s="1"/>
  <c r="H70" i="1"/>
  <c r="I70" i="1" s="1"/>
  <c r="H58" i="1"/>
  <c r="I58" i="1" s="1"/>
  <c r="H68" i="1"/>
  <c r="I68" i="1" s="1"/>
  <c r="H77" i="1"/>
  <c r="I77" i="1" s="1"/>
  <c r="H65" i="1"/>
  <c r="I65" i="1" s="1"/>
  <c r="H76" i="1"/>
  <c r="I76" i="1" s="1"/>
  <c r="H61" i="1"/>
  <c r="I61" i="1" s="1"/>
  <c r="H71" i="1"/>
  <c r="I71" i="1" s="1"/>
  <c r="H75" i="1"/>
  <c r="I75" i="1" s="1"/>
  <c r="H59" i="1"/>
  <c r="I59" i="1" s="1"/>
  <c r="H55" i="1"/>
  <c r="I55" i="1" s="1"/>
  <c r="H64" i="1"/>
  <c r="I64" i="1" s="1"/>
  <c r="H79" i="1"/>
  <c r="I79" i="1" s="1"/>
  <c r="H54" i="1"/>
  <c r="I54" i="1" s="1"/>
  <c r="H72" i="1"/>
  <c r="I72" i="1" s="1"/>
  <c r="H53" i="1"/>
  <c r="I53" i="1" s="1"/>
  <c r="H66" i="1"/>
  <c r="I66" i="1" s="1"/>
  <c r="H69" i="1"/>
  <c r="I69" i="1" s="1"/>
  <c r="H57" i="1"/>
  <c r="I57" i="1" s="1"/>
  <c r="H63" i="1"/>
  <c r="I63" i="1" s="1"/>
  <c r="H60" i="1"/>
  <c r="I60" i="1" s="1"/>
  <c r="H80" i="1"/>
  <c r="I80" i="1" s="1"/>
  <c r="H62" i="1"/>
  <c r="I62" i="1" s="1"/>
  <c r="H73" i="1"/>
  <c r="I73" i="1" s="1"/>
  <c r="I46" i="1" l="1"/>
  <c r="D55" i="1"/>
  <c r="M49" i="1" l="1"/>
  <c r="I43" i="1" s="1"/>
  <c r="D56" i="1"/>
  <c r="D57" i="1" l="1"/>
  <c r="D58" i="1" l="1"/>
  <c r="D59" i="1" l="1"/>
  <c r="D60" i="1" l="1"/>
  <c r="D61" i="1" l="1"/>
  <c r="D62" i="1" l="1"/>
  <c r="D63" i="1" l="1"/>
  <c r="D64" i="1" l="1"/>
  <c r="D65" i="1" l="1"/>
  <c r="D66" i="1" l="1"/>
  <c r="D67" i="1" l="1"/>
  <c r="D68" i="1" l="1"/>
  <c r="D69" i="1" l="1"/>
  <c r="D70" i="1" l="1"/>
  <c r="D71" i="1" l="1"/>
  <c r="D72" i="1" l="1"/>
  <c r="D73" i="1" l="1"/>
  <c r="D74" i="1" l="1"/>
  <c r="D75" i="1" l="1"/>
  <c r="D76" i="1" l="1"/>
  <c r="D77" i="1" l="1"/>
  <c r="D78" i="1" l="1"/>
  <c r="D79" i="1" l="1"/>
  <c r="D80" i="1" l="1"/>
  <c r="D81" i="1" l="1"/>
</calcChain>
</file>

<file path=xl/sharedStrings.xml><?xml version="1.0" encoding="utf-8"?>
<sst xmlns="http://schemas.openxmlformats.org/spreadsheetml/2006/main" count="60" uniqueCount="57">
  <si>
    <t>Badlar</t>
  </si>
  <si>
    <t>AMORTIZACIÓN</t>
  </si>
  <si>
    <t>INTERESES</t>
  </si>
  <si>
    <t>CANON GRAVADO</t>
  </si>
  <si>
    <t>IVA  21%</t>
  </si>
  <si>
    <t>CANON TOTAL</t>
  </si>
  <si>
    <t>SALDO</t>
  </si>
  <si>
    <t>PERIODO</t>
  </si>
  <si>
    <t>Valor a financiar</t>
  </si>
  <si>
    <t>Tasa de la Operación (mensual)</t>
  </si>
  <si>
    <t>Mes</t>
  </si>
  <si>
    <t>Dias vencimiento</t>
  </si>
  <si>
    <t xml:space="preserve">Tasa de la Operación primera cuota </t>
  </si>
  <si>
    <t>Prima sobre Badlar</t>
  </si>
  <si>
    <t>Exención Impuesto a los sellos</t>
  </si>
  <si>
    <t>SI</t>
  </si>
  <si>
    <t>NO</t>
  </si>
  <si>
    <t>IVA</t>
  </si>
  <si>
    <t>Periodos Totales</t>
  </si>
  <si>
    <t xml:space="preserve">DETALLE DE LEASING FINANCIERO AL </t>
  </si>
  <si>
    <t>ENERO</t>
  </si>
  <si>
    <t>FEBRERO</t>
  </si>
  <si>
    <t>MARZO</t>
  </si>
  <si>
    <t>ABRIL</t>
  </si>
  <si>
    <t>MAYO</t>
  </si>
  <si>
    <t>JUNIO</t>
  </si>
  <si>
    <t>JULIO</t>
  </si>
  <si>
    <t>AGOSTO</t>
  </si>
  <si>
    <t>SEPTIEMBRE</t>
  </si>
  <si>
    <t>OCTUBRE</t>
  </si>
  <si>
    <t>NOVIEMBRE</t>
  </si>
  <si>
    <t>DICIEMBRE</t>
  </si>
  <si>
    <t>Vehículo</t>
  </si>
  <si>
    <t>Cantidad</t>
  </si>
  <si>
    <t>Descripción del Vehículo</t>
  </si>
  <si>
    <t>Tomador</t>
  </si>
  <si>
    <t>Valor del Vehículo sin IVA</t>
  </si>
  <si>
    <t>Gastos Administrativos por Vehículo sin IVA</t>
  </si>
  <si>
    <t>AUDI A3 SPORTBACK 1,4T</t>
  </si>
  <si>
    <t>T.N.A. (2)</t>
  </si>
  <si>
    <t>T.E.M. (3)</t>
  </si>
  <si>
    <t>Gastos Flete por Vehículo sin IVA</t>
  </si>
  <si>
    <t>Plazo en meses (sin opción de compra)</t>
  </si>
  <si>
    <t>Plazo (5)</t>
  </si>
  <si>
    <t>Impuesto a los Sellos (7)</t>
  </si>
  <si>
    <t>Valor a Financiar (8)</t>
  </si>
  <si>
    <t>Primer Canon (sin IVA)(10)</t>
  </si>
  <si>
    <t>Canon estándar(sin IVA)(10)</t>
  </si>
  <si>
    <t>Comisión de originación (6)</t>
  </si>
  <si>
    <t>C.F.T. sin IVA(4)</t>
  </si>
  <si>
    <t>XX SAS</t>
  </si>
  <si>
    <t>Valor Residual del Vehículo sin iva (9)</t>
  </si>
  <si>
    <t>Día del mes (en número)</t>
  </si>
  <si>
    <t xml:space="preserve">(1) La presente cotización no implica compromiso ni obligación alguna por parte del Banco. Los valores ingresados son meramente indicativos. La efectiva realización de la operación que se detalla, se encuentra sujeta a la correspondiente aprobación de Banco Julio S.A. y a los términos y condiciones definitivos del contrato a suscribir.
(2) Tasa Nominal Anual, resulta de sumar a la tasa BADLAR 1800 puntos básicos (18%).
(3) Tasa Efectiva Mensual, resulta de dividir la T.N.A sobre 12 meses.
(4) Costo Financiero Total, incluye los costos Financieros (T.N.A), la carga impositiva y las comisión de originación.
(5) Cumplido el plazo se podrá ejercer la opción de compra, equivalente al valor residual con IVA.
(6)  Representa el 1% del valor a financiar.
(7) Exento siempre y cuando el tomador destine el bien objeto del leasing a su actividad económica. La simulación supone que el vehiculo será afectado como bien de uso, aplicando de esta manera la excención en la percepción del IVA (3%) a Responsables Inscriptos.
(8) El Valor a financiar está compuesto por el valor del vehículo, neto del impuesto al valor agregado, y los gastos de administración y flete requeridos para su otorgamiento. No se incluyen los gastos de Inscripción en el Registro de Propiedad del Automotor.
(9)  El Valor Residual mencionado es representativo, el mismo será calculado al finalizar el pago de las cuotas aplicando la tasa de interés vigente. Se podrá ejercer luego de haber abonado la totalidad de los cánones.
(10) El seguro - total - será a cargo del tomador por medio de Banco Julio S.A.
</t>
  </si>
  <si>
    <t>INGRESAR LOS DATOS</t>
  </si>
  <si>
    <t>SIMULACIÓN (No ingresar los datos)</t>
  </si>
  <si>
    <t>CUIT del tomador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</si>
</sst>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 #,##0.00;[Red]\-&quot;$&quot;\ #,##0.00"/>
    <numFmt numFmtId="165" formatCode="_-&quot;$&quot;\ * #,##0.00_-;\-&quot;$&quot;\ * #,##0.00_-;_-&quot;$&quot;\ * &quot;-&quot;??_-;_-@_-"/>
    <numFmt numFmtId="166" formatCode="0.0000%"/>
    <numFmt numFmtId="167" formatCode="&quot;$&quot;\ #,##0.00"/>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1"/>
      <color rgb="FFFA7D00"/>
      <name val="Calibri"/>
      <family val="2"/>
      <scheme val="minor"/>
    </font>
    <font>
      <b/>
      <sz val="16"/>
      <color theme="1"/>
      <name val="Calibri"/>
      <family val="2"/>
      <scheme val="minor"/>
    </font>
    <font>
      <b/>
      <sz val="20"/>
      <color theme="1"/>
      <name val="Calibri"/>
      <family val="2"/>
      <scheme val="minor"/>
    </font>
    <font>
      <sz val="14"/>
      <color theme="1"/>
      <name val="Calibri"/>
      <family val="2"/>
      <scheme val="minor"/>
    </font>
    <font>
      <sz val="16"/>
      <color theme="1"/>
      <name val="Calibri"/>
      <family val="2"/>
      <scheme val="minor"/>
    </font>
    <font>
      <b/>
      <sz val="14"/>
      <color theme="1"/>
      <name val="Calibri"/>
      <family val="2"/>
      <scheme val="minor"/>
    </font>
  </fonts>
  <fills count="12">
    <fill>
      <patternFill patternType="none"/>
    </fill>
    <fill>
      <patternFill patternType="gray125"/>
    </fill>
    <fill>
      <patternFill patternType="solid">
        <fgColor theme="6" tint="0.79998168889431442"/>
        <bgColor indexed="65"/>
      </patternFill>
    </fill>
    <fill>
      <patternFill patternType="solid">
        <fgColor theme="0"/>
        <bgColor indexed="64"/>
      </patternFill>
    </fill>
    <fill>
      <patternFill patternType="solid">
        <fgColor rgb="FFF2F2F2"/>
      </patternFill>
    </fill>
    <fill>
      <patternFill patternType="solid">
        <fgColor theme="4" tint="0.79998168889431442"/>
        <bgColor indexed="64"/>
      </patternFill>
    </fill>
    <fill>
      <patternFill patternType="solid">
        <fgColor theme="4"/>
        <bgColor indexed="64"/>
      </patternFill>
    </fill>
    <fill>
      <patternFill patternType="solid">
        <fgColor theme="7" tint="0.59999389629810485"/>
        <bgColor indexed="64"/>
      </patternFill>
    </fill>
    <fill>
      <patternFill patternType="solid">
        <fgColor theme="2"/>
        <bgColor indexed="64"/>
      </patternFill>
    </fill>
    <fill>
      <patternFill patternType="solid">
        <fgColor rgb="FFFD5151"/>
        <bgColor indexed="64"/>
      </patternFill>
    </fill>
    <fill>
      <patternFill patternType="solid">
        <fgColor rgb="FF6B81EF"/>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165" fontId="1" fillId="0" borderId="0" applyFont="0" applyFill="0" applyBorder="0" applyAlignment="0" applyProtection="0"/>
    <xf numFmtId="9" fontId="1" fillId="0" borderId="0" applyFont="0" applyFill="0" applyBorder="0" applyAlignment="0" applyProtection="0"/>
    <xf numFmtId="0" fontId="1" fillId="2" borderId="0" applyNumberFormat="0" applyBorder="0" applyAlignment="0" applyProtection="0"/>
    <xf numFmtId="0" fontId="3" fillId="4" borderId="11" applyNumberFormat="0" applyAlignment="0" applyProtection="0"/>
  </cellStyleXfs>
  <cellXfs count="120">
    <xf numFmtId="0" fontId="0" fillId="0" borderId="0" xfId="0"/>
    <xf numFmtId="0" fontId="0" fillId="8" borderId="0" xfId="0" applyFill="1" applyProtection="1"/>
    <xf numFmtId="0" fontId="0" fillId="8" borderId="0" xfId="0" applyFill="1" applyAlignment="1" applyProtection="1">
      <alignment horizontal="center"/>
    </xf>
    <xf numFmtId="0" fontId="0" fillId="0" borderId="0" xfId="0" applyProtection="1"/>
    <xf numFmtId="0" fontId="0" fillId="3" borderId="5" xfId="0" applyFill="1" applyBorder="1" applyProtection="1"/>
    <xf numFmtId="0" fontId="0" fillId="3" borderId="0" xfId="0" applyFill="1" applyBorder="1" applyProtection="1"/>
    <xf numFmtId="0" fontId="0" fillId="3" borderId="0" xfId="0" applyFill="1" applyBorder="1" applyAlignment="1" applyProtection="1">
      <alignment horizontal="center"/>
    </xf>
    <xf numFmtId="0" fontId="0" fillId="3" borderId="6" xfId="0" applyFill="1" applyBorder="1" applyProtection="1"/>
    <xf numFmtId="0" fontId="0" fillId="3" borderId="1" xfId="0" applyFill="1" applyBorder="1" applyAlignment="1" applyProtection="1">
      <alignment horizontal="left"/>
    </xf>
    <xf numFmtId="0" fontId="0" fillId="0" borderId="1" xfId="0" applyBorder="1" applyAlignment="1" applyProtection="1">
      <alignment horizontal="left"/>
    </xf>
    <xf numFmtId="0" fontId="0" fillId="3" borderId="7" xfId="0" applyFill="1" applyBorder="1" applyProtection="1"/>
    <xf numFmtId="0" fontId="0" fillId="3" borderId="8" xfId="0" applyFill="1" applyBorder="1" applyProtection="1"/>
    <xf numFmtId="0" fontId="0" fillId="3" borderId="9" xfId="0" applyFill="1" applyBorder="1" applyProtection="1"/>
    <xf numFmtId="0" fontId="0" fillId="8" borderId="0" xfId="0" applyFill="1" applyBorder="1" applyAlignment="1" applyProtection="1">
      <alignment horizontal="center"/>
    </xf>
    <xf numFmtId="0" fontId="0" fillId="8" borderId="0" xfId="0" applyFill="1" applyBorder="1" applyProtection="1"/>
    <xf numFmtId="0" fontId="2" fillId="8" borderId="0" xfId="0" applyFont="1" applyFill="1" applyBorder="1" applyAlignment="1" applyProtection="1">
      <alignment vertical="center"/>
    </xf>
    <xf numFmtId="0" fontId="4" fillId="3" borderId="3" xfId="0" applyFont="1" applyFill="1" applyBorder="1" applyAlignment="1" applyProtection="1">
      <alignment vertical="center"/>
    </xf>
    <xf numFmtId="0" fontId="4" fillId="3" borderId="4" xfId="0" applyFont="1" applyFill="1" applyBorder="1" applyAlignment="1" applyProtection="1">
      <alignment vertical="center"/>
    </xf>
    <xf numFmtId="0" fontId="4" fillId="3" borderId="0" xfId="0" applyFont="1" applyFill="1" applyBorder="1" applyAlignment="1" applyProtection="1">
      <alignment vertical="center"/>
    </xf>
    <xf numFmtId="0" fontId="4" fillId="3" borderId="6" xfId="0" applyFont="1" applyFill="1" applyBorder="1" applyAlignment="1" applyProtection="1">
      <alignment vertical="center"/>
    </xf>
    <xf numFmtId="0" fontId="0" fillId="3" borderId="0" xfId="0" applyFill="1" applyBorder="1" applyAlignment="1" applyProtection="1">
      <alignment horizontal="left"/>
    </xf>
    <xf numFmtId="10" fontId="0" fillId="0" borderId="0" xfId="0" applyNumberFormat="1" applyProtection="1"/>
    <xf numFmtId="9" fontId="0" fillId="0" borderId="0" xfId="0" applyNumberFormat="1" applyProtection="1"/>
    <xf numFmtId="0" fontId="4" fillId="3" borderId="5" xfId="0" applyFont="1" applyFill="1" applyBorder="1" applyAlignment="1" applyProtection="1">
      <alignment vertical="center"/>
    </xf>
    <xf numFmtId="14" fontId="0" fillId="0" borderId="0" xfId="0" applyNumberFormat="1" applyProtection="1"/>
    <xf numFmtId="0" fontId="0" fillId="0" borderId="2" xfId="0" applyBorder="1" applyProtection="1"/>
    <xf numFmtId="165" fontId="0" fillId="0" borderId="0" xfId="0" applyNumberFormat="1" applyProtection="1"/>
    <xf numFmtId="164" fontId="0" fillId="0" borderId="0" xfId="0" applyNumberFormat="1" applyProtection="1"/>
    <xf numFmtId="10" fontId="0" fillId="0" borderId="0" xfId="2" applyNumberFormat="1" applyFont="1" applyProtection="1"/>
    <xf numFmtId="164" fontId="0" fillId="0" borderId="0" xfId="1" applyNumberFormat="1" applyFont="1" applyProtection="1"/>
    <xf numFmtId="2" fontId="0" fillId="0" borderId="0" xfId="0" applyNumberFormat="1" applyProtection="1"/>
    <xf numFmtId="0" fontId="0" fillId="2" borderId="1" xfId="3" applyFont="1" applyBorder="1" applyAlignment="1" applyProtection="1">
      <alignment horizontal="left"/>
    </xf>
    <xf numFmtId="0" fontId="1" fillId="2" borderId="1" xfId="3" applyBorder="1" applyAlignment="1" applyProtection="1">
      <alignment horizontal="left"/>
    </xf>
    <xf numFmtId="0" fontId="0" fillId="3" borderId="1" xfId="0" applyFill="1" applyBorder="1" applyAlignment="1" applyProtection="1">
      <alignment horizontal="center"/>
      <protection locked="0"/>
    </xf>
    <xf numFmtId="49" fontId="0" fillId="3" borderId="7" xfId="0" applyNumberFormat="1" applyFill="1" applyBorder="1" applyProtection="1"/>
    <xf numFmtId="49" fontId="0" fillId="3" borderId="8" xfId="0" applyNumberFormat="1" applyFill="1" applyBorder="1" applyProtection="1"/>
    <xf numFmtId="49" fontId="0" fillId="3" borderId="9" xfId="0" applyNumberFormat="1" applyFill="1" applyBorder="1" applyProtection="1"/>
    <xf numFmtId="49" fontId="0" fillId="3" borderId="5" xfId="0" applyNumberFormat="1" applyFill="1" applyBorder="1" applyProtection="1"/>
    <xf numFmtId="49" fontId="0" fillId="3" borderId="0" xfId="0" applyNumberFormat="1" applyFill="1" applyBorder="1" applyProtection="1"/>
    <xf numFmtId="49" fontId="0" fillId="3" borderId="6" xfId="0" applyNumberFormat="1" applyFill="1" applyBorder="1" applyProtection="1"/>
    <xf numFmtId="49" fontId="0" fillId="3" borderId="0" xfId="0" applyNumberFormat="1" applyFill="1" applyBorder="1" applyAlignment="1" applyProtection="1">
      <alignment horizontal="center"/>
    </xf>
    <xf numFmtId="49" fontId="0" fillId="3" borderId="8" xfId="0" applyNumberFormat="1" applyFill="1" applyBorder="1" applyAlignment="1" applyProtection="1">
      <alignment horizontal="center"/>
    </xf>
    <xf numFmtId="49" fontId="0" fillId="8" borderId="5" xfId="0" applyNumberFormat="1" applyFill="1" applyBorder="1" applyProtection="1"/>
    <xf numFmtId="49" fontId="0" fillId="8" borderId="0" xfId="0" applyNumberFormat="1" applyFill="1" applyBorder="1" applyProtection="1"/>
    <xf numFmtId="49" fontId="0" fillId="8" borderId="0" xfId="0" applyNumberFormat="1" applyFill="1" applyBorder="1" applyAlignment="1" applyProtection="1">
      <alignment horizontal="center"/>
    </xf>
    <xf numFmtId="49" fontId="0" fillId="8" borderId="6" xfId="0" applyNumberFormat="1" applyFill="1" applyBorder="1" applyProtection="1"/>
    <xf numFmtId="49" fontId="0" fillId="0" borderId="5" xfId="0" applyNumberFormat="1" applyBorder="1" applyProtection="1"/>
    <xf numFmtId="49" fontId="0" fillId="0" borderId="0" xfId="0" applyNumberFormat="1" applyBorder="1" applyProtection="1"/>
    <xf numFmtId="49" fontId="0" fillId="0" borderId="0" xfId="0" applyNumberFormat="1" applyBorder="1" applyAlignment="1" applyProtection="1">
      <alignment horizontal="center"/>
    </xf>
    <xf numFmtId="49" fontId="0" fillId="0" borderId="6" xfId="0" applyNumberFormat="1" applyBorder="1" applyProtection="1"/>
    <xf numFmtId="1" fontId="0" fillId="0" borderId="1" xfId="1" applyNumberFormat="1" applyFont="1" applyBorder="1" applyAlignment="1" applyProtection="1">
      <alignment horizontal="center"/>
    </xf>
    <xf numFmtId="1" fontId="0" fillId="5" borderId="1" xfId="1" applyNumberFormat="1" applyFont="1" applyFill="1" applyBorder="1" applyAlignment="1" applyProtection="1">
      <alignment horizontal="center"/>
    </xf>
    <xf numFmtId="1" fontId="2" fillId="7" borderId="1" xfId="1" applyNumberFormat="1" applyFont="1" applyFill="1" applyBorder="1" applyAlignment="1" applyProtection="1">
      <alignment horizontal="center"/>
    </xf>
    <xf numFmtId="1" fontId="0" fillId="3" borderId="0" xfId="0" applyNumberFormat="1" applyFill="1" applyBorder="1" applyProtection="1"/>
    <xf numFmtId="0" fontId="7" fillId="8" borderId="0" xfId="0" applyFont="1" applyFill="1" applyProtection="1"/>
    <xf numFmtId="49" fontId="7" fillId="3" borderId="5" xfId="0" applyNumberFormat="1" applyFont="1" applyFill="1" applyBorder="1" applyProtection="1"/>
    <xf numFmtId="49" fontId="7" fillId="3" borderId="6" xfId="0" applyNumberFormat="1" applyFont="1" applyFill="1" applyBorder="1" applyProtection="1"/>
    <xf numFmtId="0" fontId="7" fillId="0" borderId="0" xfId="0" applyFont="1" applyProtection="1"/>
    <xf numFmtId="165" fontId="0" fillId="0" borderId="1" xfId="1" applyFont="1" applyBorder="1" applyAlignment="1" applyProtection="1">
      <alignment horizontal="center" vertical="center"/>
    </xf>
    <xf numFmtId="165" fontId="0" fillId="5" borderId="1" xfId="1" applyFont="1" applyFill="1" applyBorder="1" applyAlignment="1" applyProtection="1">
      <alignment horizontal="center" vertical="center"/>
    </xf>
    <xf numFmtId="165" fontId="2" fillId="7" borderId="1" xfId="1" applyFont="1" applyFill="1" applyBorder="1" applyAlignment="1" applyProtection="1">
      <alignment horizontal="center" vertical="center"/>
    </xf>
    <xf numFmtId="49" fontId="2" fillId="6" borderId="1" xfId="0" applyNumberFormat="1" applyFont="1" applyFill="1" applyBorder="1" applyAlignment="1" applyProtection="1">
      <alignment horizontal="center" vertical="center"/>
    </xf>
    <xf numFmtId="164" fontId="0" fillId="5" borderId="1" xfId="1" applyNumberFormat="1" applyFont="1" applyFill="1" applyBorder="1" applyAlignment="1" applyProtection="1">
      <alignment horizontal="center" vertical="center"/>
    </xf>
    <xf numFmtId="0" fontId="6" fillId="3" borderId="0" xfId="0" applyFont="1" applyFill="1" applyBorder="1" applyProtection="1"/>
    <xf numFmtId="165" fontId="8" fillId="5" borderId="14" xfId="0" applyNumberFormat="1" applyFont="1" applyFill="1" applyBorder="1" applyAlignment="1" applyProtection="1">
      <alignment horizontal="center" vertical="center"/>
    </xf>
    <xf numFmtId="0" fontId="6" fillId="3" borderId="0" xfId="0" applyFont="1" applyFill="1" applyBorder="1" applyAlignment="1" applyProtection="1">
      <alignment horizontal="left"/>
    </xf>
    <xf numFmtId="165" fontId="8" fillId="5" borderId="19" xfId="0" applyNumberFormat="1" applyFont="1" applyFill="1" applyBorder="1" applyAlignment="1" applyProtection="1">
      <alignment horizontal="center" vertical="center"/>
    </xf>
    <xf numFmtId="0" fontId="8" fillId="6" borderId="16" xfId="0" applyFont="1" applyFill="1" applyBorder="1" applyAlignment="1" applyProtection="1">
      <alignment vertical="center"/>
    </xf>
    <xf numFmtId="0" fontId="0" fillId="11" borderId="1" xfId="0" applyFill="1" applyBorder="1" applyAlignment="1" applyProtection="1">
      <alignment horizontal="center"/>
      <protection locked="0"/>
    </xf>
    <xf numFmtId="165" fontId="0" fillId="11" borderId="1" xfId="1" applyFont="1" applyFill="1" applyBorder="1" applyAlignment="1" applyProtection="1">
      <alignment horizontal="center"/>
      <protection locked="0"/>
    </xf>
    <xf numFmtId="0" fontId="0" fillId="0" borderId="1" xfId="0" applyBorder="1" applyAlignment="1" applyProtection="1">
      <alignment horizontal="center"/>
      <protection locked="0"/>
    </xf>
    <xf numFmtId="9" fontId="0" fillId="11" borderId="1" xfId="2" applyFont="1" applyFill="1" applyBorder="1" applyAlignment="1" applyProtection="1">
      <alignment horizontal="center"/>
      <protection locked="0"/>
    </xf>
    <xf numFmtId="166" fontId="0" fillId="11" borderId="1" xfId="2" applyNumberFormat="1" applyFont="1" applyFill="1" applyBorder="1" applyAlignment="1" applyProtection="1">
      <alignment horizontal="center"/>
      <protection locked="0"/>
    </xf>
    <xf numFmtId="1" fontId="0" fillId="11" borderId="1" xfId="2" applyNumberFormat="1" applyFont="1" applyFill="1" applyBorder="1" applyAlignment="1" applyProtection="1">
      <alignment horizontal="center"/>
      <protection locked="0"/>
    </xf>
    <xf numFmtId="164" fontId="0" fillId="3" borderId="0" xfId="0" applyNumberFormat="1" applyFill="1" applyBorder="1" applyProtection="1"/>
    <xf numFmtId="164" fontId="2" fillId="7" borderId="1" xfId="1" applyNumberFormat="1" applyFont="1" applyFill="1" applyBorder="1" applyAlignment="1" applyProtection="1">
      <alignment horizontal="center" vertical="center"/>
    </xf>
    <xf numFmtId="0" fontId="0" fillId="3" borderId="1" xfId="0" applyFill="1" applyBorder="1" applyAlignment="1" applyProtection="1">
      <alignment horizontal="center"/>
      <protection locked="0"/>
    </xf>
    <xf numFmtId="10" fontId="8" fillId="5" borderId="20" xfId="2" applyNumberFormat="1" applyFont="1" applyFill="1" applyBorder="1" applyAlignment="1" applyProtection="1">
      <alignment horizontal="center" vertical="center"/>
    </xf>
    <xf numFmtId="10" fontId="8" fillId="5" borderId="21" xfId="2" applyNumberFormat="1" applyFont="1" applyFill="1" applyBorder="1" applyAlignment="1" applyProtection="1">
      <alignment horizontal="center" vertical="center"/>
    </xf>
    <xf numFmtId="10" fontId="8" fillId="5" borderId="22" xfId="2" applyNumberFormat="1" applyFont="1" applyFill="1" applyBorder="1" applyAlignment="1" applyProtection="1">
      <alignment horizontal="center" vertical="center"/>
    </xf>
    <xf numFmtId="165" fontId="8" fillId="5" borderId="22" xfId="1" applyFont="1" applyFill="1" applyBorder="1" applyAlignment="1" applyProtection="1">
      <alignment horizontal="center" vertical="center"/>
    </xf>
    <xf numFmtId="0" fontId="5" fillId="10" borderId="2" xfId="0" applyFont="1" applyFill="1" applyBorder="1" applyAlignment="1" applyProtection="1">
      <alignment horizontal="center" vertical="center"/>
    </xf>
    <xf numFmtId="0" fontId="5" fillId="10" borderId="3" xfId="0" applyFont="1" applyFill="1" applyBorder="1" applyAlignment="1" applyProtection="1">
      <alignment horizontal="center" vertical="center"/>
    </xf>
    <xf numFmtId="0" fontId="5" fillId="10" borderId="4" xfId="0" applyFont="1" applyFill="1" applyBorder="1" applyAlignment="1" applyProtection="1">
      <alignment horizontal="center" vertical="center"/>
    </xf>
    <xf numFmtId="0" fontId="5" fillId="10" borderId="7" xfId="0" applyFont="1" applyFill="1" applyBorder="1" applyAlignment="1" applyProtection="1">
      <alignment horizontal="center" vertical="center"/>
    </xf>
    <xf numFmtId="0" fontId="5" fillId="10" borderId="8" xfId="0" applyFont="1" applyFill="1" applyBorder="1" applyAlignment="1" applyProtection="1">
      <alignment horizontal="center" vertical="center"/>
    </xf>
    <xf numFmtId="0" fontId="5" fillId="10" borderId="9" xfId="0" applyFont="1" applyFill="1" applyBorder="1" applyAlignment="1" applyProtection="1">
      <alignment horizontal="center" vertical="center"/>
    </xf>
    <xf numFmtId="0" fontId="1" fillId="2" borderId="1" xfId="3" applyBorder="1" applyAlignment="1" applyProtection="1">
      <alignment horizontal="left"/>
    </xf>
    <xf numFmtId="0" fontId="0" fillId="2" borderId="1" xfId="3" applyFont="1" applyBorder="1" applyAlignment="1" applyProtection="1">
      <alignment horizontal="left"/>
    </xf>
    <xf numFmtId="0" fontId="0" fillId="3" borderId="1" xfId="0" applyFill="1" applyBorder="1" applyAlignment="1" applyProtection="1">
      <alignment horizontal="center"/>
      <protection locked="0"/>
    </xf>
    <xf numFmtId="0" fontId="3" fillId="3" borderId="1" xfId="4" applyFill="1" applyBorder="1" applyAlignment="1" applyProtection="1">
      <alignment horizontal="center"/>
    </xf>
    <xf numFmtId="167" fontId="0" fillId="3" borderId="1" xfId="1" applyNumberFormat="1" applyFont="1" applyFill="1" applyBorder="1" applyAlignment="1" applyProtection="1">
      <alignment horizontal="center"/>
      <protection locked="0"/>
    </xf>
    <xf numFmtId="0" fontId="0" fillId="2" borderId="15" xfId="3" applyFont="1" applyBorder="1" applyAlignment="1" applyProtection="1">
      <alignment horizontal="left"/>
    </xf>
    <xf numFmtId="0" fontId="1" fillId="2" borderId="10" xfId="3" applyBorder="1" applyAlignment="1" applyProtection="1">
      <alignment horizontal="left"/>
    </xf>
    <xf numFmtId="1" fontId="0" fillId="3" borderId="1" xfId="1" applyNumberFormat="1" applyFont="1" applyFill="1" applyBorder="1" applyAlignment="1" applyProtection="1">
      <alignment horizontal="center"/>
      <protection locked="0"/>
    </xf>
    <xf numFmtId="0" fontId="5" fillId="9" borderId="2" xfId="0" applyFont="1" applyFill="1" applyBorder="1" applyAlignment="1" applyProtection="1">
      <alignment horizontal="center" vertical="center"/>
    </xf>
    <xf numFmtId="0" fontId="5" fillId="9" borderId="3" xfId="0" applyFont="1" applyFill="1" applyBorder="1" applyAlignment="1" applyProtection="1">
      <alignment horizontal="center" vertical="center"/>
    </xf>
    <xf numFmtId="0" fontId="5" fillId="9" borderId="4" xfId="0" applyFont="1" applyFill="1" applyBorder="1" applyAlignment="1" applyProtection="1">
      <alignment horizontal="center" vertical="center"/>
    </xf>
    <xf numFmtId="0" fontId="5" fillId="9" borderId="5" xfId="0" applyFont="1" applyFill="1" applyBorder="1" applyAlignment="1" applyProtection="1">
      <alignment horizontal="center" vertical="center"/>
    </xf>
    <xf numFmtId="0" fontId="5" fillId="9" borderId="0" xfId="0" applyFont="1" applyFill="1" applyBorder="1" applyAlignment="1" applyProtection="1">
      <alignment horizontal="center" vertical="center"/>
    </xf>
    <xf numFmtId="0" fontId="5" fillId="9" borderId="6" xfId="0" applyFont="1" applyFill="1" applyBorder="1" applyAlignment="1" applyProtection="1">
      <alignment horizontal="center" vertical="center"/>
    </xf>
    <xf numFmtId="49" fontId="7" fillId="3" borderId="0" xfId="0" applyNumberFormat="1" applyFont="1" applyFill="1" applyBorder="1" applyAlignment="1" applyProtection="1">
      <alignment horizontal="left" vertical="top" wrapText="1"/>
    </xf>
    <xf numFmtId="0" fontId="8" fillId="6" borderId="12" xfId="0" applyFont="1" applyFill="1" applyBorder="1" applyAlignment="1" applyProtection="1">
      <alignment horizontal="left" vertical="center"/>
    </xf>
    <xf numFmtId="0" fontId="8" fillId="6" borderId="13" xfId="0" applyFont="1" applyFill="1" applyBorder="1" applyAlignment="1" applyProtection="1">
      <alignment horizontal="left" vertical="center"/>
    </xf>
    <xf numFmtId="0" fontId="8" fillId="6" borderId="17" xfId="0" applyFont="1" applyFill="1" applyBorder="1" applyAlignment="1" applyProtection="1">
      <alignment horizontal="left" vertical="center"/>
    </xf>
    <xf numFmtId="0" fontId="8" fillId="6" borderId="18" xfId="0" applyFont="1" applyFill="1" applyBorder="1" applyAlignment="1" applyProtection="1">
      <alignment horizontal="left" vertical="center"/>
    </xf>
    <xf numFmtId="0" fontId="5" fillId="3" borderId="3" xfId="0" applyFont="1" applyFill="1" applyBorder="1" applyAlignment="1" applyProtection="1">
      <alignment horizontal="right" vertical="center"/>
    </xf>
    <xf numFmtId="0" fontId="5" fillId="3" borderId="0" xfId="0" applyFont="1" applyFill="1" applyBorder="1" applyAlignment="1" applyProtection="1">
      <alignment horizontal="right" vertical="center"/>
    </xf>
    <xf numFmtId="165" fontId="8" fillId="5" borderId="17" xfId="1" applyFont="1" applyFill="1" applyBorder="1" applyAlignment="1" applyProtection="1">
      <alignment horizontal="center" vertical="center"/>
    </xf>
    <xf numFmtId="165" fontId="8" fillId="5" borderId="18" xfId="1" applyFont="1" applyFill="1" applyBorder="1" applyAlignment="1" applyProtection="1">
      <alignment horizontal="center" vertical="center"/>
    </xf>
    <xf numFmtId="15" fontId="5" fillId="3" borderId="3" xfId="0" applyNumberFormat="1" applyFont="1" applyFill="1" applyBorder="1" applyAlignment="1" applyProtection="1">
      <alignment vertical="center"/>
    </xf>
    <xf numFmtId="15" fontId="5" fillId="3" borderId="0" xfId="0" applyNumberFormat="1" applyFont="1" applyFill="1" applyBorder="1" applyAlignment="1" applyProtection="1">
      <alignment vertical="center"/>
    </xf>
    <xf numFmtId="0" fontId="3" fillId="3" borderId="1" xfId="4" applyFill="1" applyBorder="1" applyAlignment="1" applyProtection="1">
      <alignment horizontal="center"/>
      <protection locked="0"/>
    </xf>
    <xf numFmtId="167" fontId="0" fillId="3" borderId="15" xfId="1" applyNumberFormat="1" applyFont="1" applyFill="1" applyBorder="1" applyAlignment="1" applyProtection="1">
      <alignment horizontal="center"/>
      <protection locked="0"/>
    </xf>
    <xf numFmtId="167" fontId="0" fillId="3" borderId="10" xfId="1" applyNumberFormat="1" applyFont="1" applyFill="1" applyBorder="1" applyAlignment="1" applyProtection="1">
      <alignment horizontal="center"/>
      <protection locked="0"/>
    </xf>
    <xf numFmtId="0" fontId="1" fillId="2" borderId="15" xfId="3" applyBorder="1" applyAlignment="1" applyProtection="1">
      <alignment horizontal="center"/>
    </xf>
    <xf numFmtId="0" fontId="1" fillId="2" borderId="10" xfId="3" applyBorder="1" applyAlignment="1" applyProtection="1">
      <alignment horizontal="center"/>
    </xf>
    <xf numFmtId="10" fontId="3" fillId="3" borderId="1" xfId="4" applyNumberFormat="1" applyFill="1" applyBorder="1" applyAlignment="1" applyProtection="1">
      <alignment horizontal="center"/>
      <protection locked="0"/>
    </xf>
    <xf numFmtId="1" fontId="8" fillId="5" borderId="17" xfId="1" applyNumberFormat="1" applyFont="1" applyFill="1" applyBorder="1" applyAlignment="1" applyProtection="1">
      <alignment horizontal="center" vertical="center"/>
    </xf>
    <xf numFmtId="1" fontId="8" fillId="5" borderId="18" xfId="1" applyNumberFormat="1" applyFont="1" applyFill="1" applyBorder="1" applyAlignment="1" applyProtection="1">
      <alignment horizontal="center" vertical="center"/>
    </xf>
  </cellXfs>
  <cellStyles count="5">
    <cellStyle name="20% - Énfasis3" xfId="3" builtinId="38"/>
    <cellStyle name="Cálculo" xfId="4" builtinId="22"/>
    <cellStyle name="Moneda" xfId="1" builtinId="4"/>
    <cellStyle name="Normal" xfId="0" builtinId="0"/>
    <cellStyle name="Porcentaje" xfId="2" builtinId="5"/>
  </cellStyles>
  <dxfs count="0"/>
  <tableStyles count="0" defaultTableStyle="TableStyleMedium2" defaultPivotStyle="PivotStyleLight16"/>
  <colors>
    <mruColors>
      <color rgb="FF6B81EF"/>
      <color rgb="FF425EEA"/>
      <color rgb="FF034CEF"/>
      <color rgb="FFFD515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4</xdr:row>
      <xdr:rowOff>0</xdr:rowOff>
    </xdr:from>
    <xdr:to>
      <xdr:col>8</xdr:col>
      <xdr:colOff>304800</xdr:colOff>
      <xdr:row>5</xdr:row>
      <xdr:rowOff>114300</xdr:rowOff>
    </xdr:to>
    <xdr:sp macro="" textlink="">
      <xdr:nvSpPr>
        <xdr:cNvPr id="1036" name="AutoShape 12" descr="Mostrando 1 sin título.jpg"/>
        <xdr:cNvSpPr>
          <a:spLocks noChangeAspect="1" noChangeArrowheads="1"/>
        </xdr:cNvSpPr>
      </xdr:nvSpPr>
      <xdr:spPr bwMode="auto">
        <a:xfrm>
          <a:off x="9582150" y="781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145677</xdr:colOff>
      <xdr:row>3</xdr:row>
      <xdr:rowOff>150061</xdr:rowOff>
    </xdr:from>
    <xdr:to>
      <xdr:col>9</xdr:col>
      <xdr:colOff>593912</xdr:colOff>
      <xdr:row>10</xdr:row>
      <xdr:rowOff>160969</xdr:rowOff>
    </xdr:to>
    <xdr:pic>
      <xdr:nvPicPr>
        <xdr:cNvPr id="9" name="Imagen 8" descr="\\bancojuliosigb.com\users\CARPETAS\boneu\Downloads\1 sin título.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65442" y="743973"/>
          <a:ext cx="2342029" cy="963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1187822</xdr:colOff>
      <xdr:row>32</xdr:row>
      <xdr:rowOff>181242</xdr:rowOff>
    </xdr:from>
    <xdr:to>
      <xdr:col>9</xdr:col>
      <xdr:colOff>293210</xdr:colOff>
      <xdr:row>37</xdr:row>
      <xdr:rowOff>179294</xdr:rowOff>
    </xdr:to>
    <xdr:pic>
      <xdr:nvPicPr>
        <xdr:cNvPr id="10" name="Imagen 9" descr="\\bancojuliosigb.com\users\CARPETAS\boneu\Downloads\1 sin título.jp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894793" y="4047271"/>
          <a:ext cx="2511976" cy="1040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6"/>
  <sheetViews>
    <sheetView tabSelected="1" zoomScale="85" zoomScaleNormal="85" workbookViewId="0">
      <selection activeCell="I14" sqref="I14"/>
    </sheetView>
  </sheetViews>
  <sheetFormatPr baseColWidth="10" defaultColWidth="0" defaultRowHeight="15" zeroHeight="1" x14ac:dyDescent="0.25"/>
  <cols>
    <col min="1" max="1" width="11.42578125" style="1" customWidth="1"/>
    <col min="2" max="2" width="11.42578125" style="46" customWidth="1"/>
    <col min="3" max="3" width="19.5703125" style="47" customWidth="1"/>
    <col min="4" max="4" width="25.5703125" style="48" customWidth="1"/>
    <col min="5" max="5" width="21.85546875" style="47" customWidth="1"/>
    <col min="6" max="6" width="19.7109375" style="47" customWidth="1"/>
    <col min="7" max="7" width="21.140625" style="47" customWidth="1"/>
    <col min="8" max="8" width="22.7109375" style="47" customWidth="1"/>
    <col min="9" max="9" width="28.42578125" style="47" customWidth="1"/>
    <col min="10" max="10" width="11.42578125" style="49" customWidth="1"/>
    <col min="11" max="11" width="11.42578125" style="1" customWidth="1"/>
    <col min="12" max="12" width="11.42578125" style="3" hidden="1" customWidth="1"/>
    <col min="13" max="13" width="16.7109375" style="3" hidden="1" customWidth="1"/>
    <col min="14" max="16384" width="11.42578125" style="3" hidden="1"/>
  </cols>
  <sheetData>
    <row r="1" spans="2:10" s="1" customFormat="1" ht="15.75" thickBot="1" x14ac:dyDescent="0.3">
      <c r="D1" s="2"/>
    </row>
    <row r="2" spans="2:10" x14ac:dyDescent="0.25">
      <c r="B2" s="81" t="s">
        <v>54</v>
      </c>
      <c r="C2" s="82"/>
      <c r="D2" s="82"/>
      <c r="E2" s="82"/>
      <c r="F2" s="82"/>
      <c r="G2" s="82"/>
      <c r="H2" s="82"/>
      <c r="I2" s="82"/>
      <c r="J2" s="83"/>
    </row>
    <row r="3" spans="2:10" ht="15.75" thickBot="1" x14ac:dyDescent="0.3">
      <c r="B3" s="84"/>
      <c r="C3" s="85"/>
      <c r="D3" s="85"/>
      <c r="E3" s="85"/>
      <c r="F3" s="85"/>
      <c r="G3" s="85"/>
      <c r="H3" s="85"/>
      <c r="I3" s="85"/>
      <c r="J3" s="86"/>
    </row>
    <row r="4" spans="2:10" x14ac:dyDescent="0.25">
      <c r="B4" s="4"/>
      <c r="C4" s="5"/>
      <c r="D4" s="6"/>
      <c r="E4" s="5"/>
      <c r="F4" s="5"/>
      <c r="G4" s="5"/>
      <c r="H4" s="5"/>
      <c r="I4" s="5"/>
      <c r="J4" s="7"/>
    </row>
    <row r="5" spans="2:10" x14ac:dyDescent="0.25">
      <c r="B5" s="4"/>
      <c r="C5" s="5"/>
      <c r="D5" s="6"/>
      <c r="E5" s="87" t="s">
        <v>10</v>
      </c>
      <c r="F5" s="87"/>
      <c r="G5" s="90" t="s">
        <v>28</v>
      </c>
      <c r="H5" s="90"/>
      <c r="I5" s="3"/>
      <c r="J5" s="7"/>
    </row>
    <row r="6" spans="2:10" x14ac:dyDescent="0.25">
      <c r="B6" s="4"/>
      <c r="C6" s="5"/>
      <c r="D6" s="6"/>
      <c r="E6" s="88" t="s">
        <v>52</v>
      </c>
      <c r="F6" s="87"/>
      <c r="G6" s="89">
        <v>1</v>
      </c>
      <c r="H6" s="89"/>
      <c r="I6" s="5"/>
      <c r="J6" s="7"/>
    </row>
    <row r="7" spans="2:10" hidden="1" x14ac:dyDescent="0.25">
      <c r="B7" s="4"/>
      <c r="C7" s="5"/>
      <c r="D7" s="6"/>
      <c r="E7" s="8"/>
      <c r="F7" s="32" t="s">
        <v>11</v>
      </c>
      <c r="G7" s="68">
        <f>(IF(G5="Enero",31,IF(G5="Febrero",28,IF(G5="Marzo",31,IF(G5="Abril",30,IF(G5="Mayo",31,IF(G5="Junio",30,IF(G5="Julio",31,IF(G5="Agosto",31,IF(G5="Septiembre",30,IF(G5="Octubre",31,IF(G5="Noviembre",30,31))))))))))))-G6+1</f>
        <v>30</v>
      </c>
      <c r="H7" s="76"/>
      <c r="I7" s="5"/>
      <c r="J7" s="7"/>
    </row>
    <row r="8" spans="2:10" hidden="1" x14ac:dyDescent="0.25">
      <c r="B8" s="4"/>
      <c r="C8" s="5"/>
      <c r="D8" s="6"/>
      <c r="E8" s="8"/>
      <c r="F8" s="32"/>
      <c r="G8" s="68">
        <f>(IF(G5="Enero",31,IF(G5="Febrero",28,IF(G5="Marzo",31,IF(G5="Abril",30,IF(G5="Mayo",31,IF(G5="Junio",30,IF(G5="Julio",31,IF(G5="Agosto",31,IF(G5="Septiembre",30,IF(G5="Octubre",31,IF(G5="Noviembre",30,31))))))))))))</f>
        <v>30</v>
      </c>
      <c r="H8" s="76"/>
      <c r="I8" s="5"/>
      <c r="J8" s="7"/>
    </row>
    <row r="9" spans="2:10" x14ac:dyDescent="0.25">
      <c r="B9" s="4"/>
      <c r="C9" s="5"/>
      <c r="D9" s="6"/>
      <c r="E9" s="88" t="s">
        <v>56</v>
      </c>
      <c r="F9" s="87"/>
      <c r="G9" s="89" t="s">
        <v>50</v>
      </c>
      <c r="H9" s="89"/>
      <c r="I9" s="5"/>
      <c r="J9" s="7"/>
    </row>
    <row r="10" spans="2:10" x14ac:dyDescent="0.25">
      <c r="B10" s="4"/>
      <c r="C10" s="5"/>
      <c r="D10" s="6"/>
      <c r="E10" s="88" t="s">
        <v>34</v>
      </c>
      <c r="F10" s="87"/>
      <c r="G10" s="89" t="s">
        <v>38</v>
      </c>
      <c r="H10" s="89"/>
      <c r="I10" s="5"/>
      <c r="J10" s="7"/>
    </row>
    <row r="11" spans="2:10" x14ac:dyDescent="0.25">
      <c r="B11" s="4"/>
      <c r="C11" s="5"/>
      <c r="D11" s="6"/>
      <c r="E11" s="92" t="s">
        <v>33</v>
      </c>
      <c r="F11" s="93"/>
      <c r="G11" s="89">
        <v>1</v>
      </c>
      <c r="H11" s="89"/>
      <c r="I11" s="5"/>
      <c r="J11" s="7"/>
    </row>
    <row r="12" spans="2:10" x14ac:dyDescent="0.25">
      <c r="B12" s="4"/>
      <c r="C12" s="5"/>
      <c r="D12" s="6"/>
      <c r="E12" s="88" t="s">
        <v>36</v>
      </c>
      <c r="F12" s="87"/>
      <c r="G12" s="91">
        <v>100000000</v>
      </c>
      <c r="H12" s="91"/>
      <c r="I12" s="5"/>
      <c r="J12" s="7"/>
    </row>
    <row r="13" spans="2:10" x14ac:dyDescent="0.25">
      <c r="B13" s="4"/>
      <c r="C13" s="5"/>
      <c r="D13" s="6"/>
      <c r="E13" s="88" t="s">
        <v>37</v>
      </c>
      <c r="F13" s="87"/>
      <c r="G13" s="91">
        <v>10000</v>
      </c>
      <c r="H13" s="91"/>
      <c r="I13" s="74"/>
      <c r="J13" s="7"/>
    </row>
    <row r="14" spans="2:10" x14ac:dyDescent="0.25">
      <c r="B14" s="4"/>
      <c r="C14" s="5"/>
      <c r="D14" s="6"/>
      <c r="E14" s="88" t="s">
        <v>41</v>
      </c>
      <c r="F14" s="87"/>
      <c r="G14" s="113">
        <v>5000</v>
      </c>
      <c r="H14" s="114"/>
      <c r="I14" s="5"/>
      <c r="J14" s="7"/>
    </row>
    <row r="15" spans="2:10" ht="15" customHeight="1" x14ac:dyDescent="0.25">
      <c r="B15" s="4"/>
      <c r="C15" s="5"/>
      <c r="D15" s="6"/>
      <c r="E15" s="88" t="s">
        <v>17</v>
      </c>
      <c r="F15" s="88"/>
      <c r="G15" s="117">
        <v>0.21</v>
      </c>
      <c r="H15" s="117"/>
      <c r="I15" s="5"/>
      <c r="J15" s="7"/>
    </row>
    <row r="16" spans="2:10" hidden="1" x14ac:dyDescent="0.25">
      <c r="B16" s="4"/>
      <c r="C16" s="5"/>
      <c r="D16" s="6"/>
      <c r="E16" s="115" t="s">
        <v>8</v>
      </c>
      <c r="F16" s="116"/>
      <c r="G16" s="69">
        <f>(G12+G13+G14)*G11</f>
        <v>100015000</v>
      </c>
      <c r="H16" s="33"/>
      <c r="I16" s="5"/>
      <c r="J16" s="7"/>
    </row>
    <row r="17" spans="1:14" hidden="1" x14ac:dyDescent="0.25">
      <c r="B17" s="4"/>
      <c r="C17" s="5"/>
      <c r="D17" s="6"/>
      <c r="E17" s="8"/>
      <c r="F17" s="9"/>
      <c r="G17" s="70"/>
      <c r="H17" s="33"/>
      <c r="I17" s="5"/>
      <c r="J17" s="7"/>
    </row>
    <row r="18" spans="1:14" hidden="1" x14ac:dyDescent="0.25">
      <c r="B18" s="4"/>
      <c r="C18" s="5"/>
      <c r="D18" s="6"/>
      <c r="E18" s="88" t="s">
        <v>0</v>
      </c>
      <c r="F18" s="88"/>
      <c r="G18" s="72">
        <v>0.57999999999999996</v>
      </c>
      <c r="H18" s="33"/>
      <c r="I18" s="5"/>
      <c r="J18" s="7"/>
    </row>
    <row r="19" spans="1:14" hidden="1" x14ac:dyDescent="0.25">
      <c r="B19" s="4"/>
      <c r="C19" s="5"/>
      <c r="D19" s="6"/>
      <c r="E19" s="8"/>
      <c r="F19" s="31" t="s">
        <v>13</v>
      </c>
      <c r="G19" s="71">
        <v>0.18</v>
      </c>
      <c r="H19" s="33"/>
      <c r="I19" s="5"/>
      <c r="J19" s="7"/>
    </row>
    <row r="20" spans="1:14" ht="15" hidden="1" customHeight="1" x14ac:dyDescent="0.25">
      <c r="B20" s="4"/>
      <c r="C20" s="5"/>
      <c r="D20" s="6"/>
      <c r="E20" s="8"/>
      <c r="F20" s="32" t="s">
        <v>12</v>
      </c>
      <c r="G20" s="72">
        <f>((G21+1)^(G7/G8))-1</f>
        <v>6.3333333333333242E-2</v>
      </c>
      <c r="H20" s="33"/>
      <c r="I20" s="5"/>
      <c r="J20" s="7"/>
    </row>
    <row r="21" spans="1:14" hidden="1" x14ac:dyDescent="0.25">
      <c r="B21" s="4"/>
      <c r="C21" s="5"/>
      <c r="D21" s="6"/>
      <c r="E21" s="8"/>
      <c r="F21" s="32" t="s">
        <v>9</v>
      </c>
      <c r="G21" s="72">
        <f>(G18+G19)/12</f>
        <v>6.3333333333333339E-2</v>
      </c>
      <c r="H21" s="33"/>
      <c r="I21" s="5"/>
      <c r="J21" s="7"/>
      <c r="L21" s="3">
        <f>50/12</f>
        <v>4.166666666666667</v>
      </c>
    </row>
    <row r="22" spans="1:14" hidden="1" x14ac:dyDescent="0.25">
      <c r="B22" s="4"/>
      <c r="C22" s="5"/>
      <c r="D22" s="6"/>
      <c r="E22" s="8"/>
      <c r="F22" s="32"/>
      <c r="G22" s="68"/>
      <c r="H22" s="33"/>
      <c r="I22" s="5"/>
      <c r="J22" s="7"/>
    </row>
    <row r="23" spans="1:14" hidden="1" x14ac:dyDescent="0.25">
      <c r="B23" s="4"/>
      <c r="C23" s="5"/>
      <c r="D23" s="6"/>
      <c r="E23" s="88" t="s">
        <v>42</v>
      </c>
      <c r="F23" s="88"/>
      <c r="G23" s="94">
        <v>30</v>
      </c>
      <c r="H23" s="94"/>
      <c r="I23" s="5"/>
      <c r="J23" s="7"/>
    </row>
    <row r="24" spans="1:14" hidden="1" x14ac:dyDescent="0.25">
      <c r="B24" s="4"/>
      <c r="C24" s="5"/>
      <c r="D24" s="6"/>
      <c r="E24" s="8"/>
      <c r="F24" s="31" t="s">
        <v>18</v>
      </c>
      <c r="G24" s="73">
        <f>G23+1</f>
        <v>31</v>
      </c>
      <c r="H24" s="33"/>
      <c r="I24" s="5"/>
      <c r="J24" s="7"/>
    </row>
    <row r="25" spans="1:14" x14ac:dyDescent="0.25">
      <c r="B25" s="4"/>
      <c r="C25" s="5"/>
      <c r="D25" s="6"/>
      <c r="E25" s="87" t="s">
        <v>14</v>
      </c>
      <c r="F25" s="87"/>
      <c r="G25" s="112" t="s">
        <v>15</v>
      </c>
      <c r="H25" s="112"/>
      <c r="I25" s="5"/>
      <c r="J25" s="7"/>
    </row>
    <row r="26" spans="1:14" x14ac:dyDescent="0.25">
      <c r="B26" s="4"/>
      <c r="C26" s="5"/>
      <c r="D26" s="5"/>
      <c r="E26" s="5"/>
      <c r="F26" s="5"/>
      <c r="G26" s="5"/>
      <c r="H26" s="5"/>
      <c r="I26"/>
      <c r="J26" s="7"/>
    </row>
    <row r="27" spans="1:14" ht="15.75" thickBot="1" x14ac:dyDescent="0.3">
      <c r="B27" s="10"/>
      <c r="C27" s="11"/>
      <c r="D27" s="11"/>
      <c r="E27" s="11"/>
      <c r="F27" s="11"/>
      <c r="G27" s="11"/>
      <c r="H27" s="11"/>
      <c r="I27" s="11"/>
      <c r="J27" s="12"/>
    </row>
    <row r="28" spans="1:14" s="1" customFormat="1" x14ac:dyDescent="0.25">
      <c r="D28" s="13"/>
      <c r="E28" s="14"/>
      <c r="F28" s="14"/>
      <c r="G28" s="14"/>
    </row>
    <row r="29" spans="1:14" s="1" customFormat="1" ht="15.75" thickBot="1" x14ac:dyDescent="0.3">
      <c r="D29" s="13"/>
      <c r="E29" s="14"/>
      <c r="F29" s="14"/>
      <c r="G29" s="14"/>
    </row>
    <row r="30" spans="1:14" x14ac:dyDescent="0.25">
      <c r="B30" s="95" t="s">
        <v>55</v>
      </c>
      <c r="C30" s="96"/>
      <c r="D30" s="96"/>
      <c r="E30" s="96"/>
      <c r="F30" s="96"/>
      <c r="G30" s="96"/>
      <c r="H30" s="96"/>
      <c r="I30" s="96"/>
      <c r="J30" s="97"/>
    </row>
    <row r="31" spans="1:14" x14ac:dyDescent="0.25">
      <c r="B31" s="98"/>
      <c r="C31" s="99"/>
      <c r="D31" s="99"/>
      <c r="E31" s="99"/>
      <c r="F31" s="99"/>
      <c r="G31" s="99"/>
      <c r="H31" s="99"/>
      <c r="I31" s="99"/>
      <c r="J31" s="100"/>
    </row>
    <row r="32" spans="1:14" ht="15.75" thickBot="1" x14ac:dyDescent="0.3">
      <c r="A32" s="14"/>
      <c r="B32" s="15"/>
      <c r="C32" s="15"/>
      <c r="D32" s="15"/>
      <c r="E32" s="15"/>
      <c r="F32" s="15"/>
      <c r="G32" s="15"/>
      <c r="H32" s="15"/>
      <c r="I32" s="15"/>
      <c r="J32" s="15"/>
      <c r="K32" s="14"/>
      <c r="N32" s="3" t="s">
        <v>20</v>
      </c>
    </row>
    <row r="33" spans="2:23" ht="21" customHeight="1" x14ac:dyDescent="0.25">
      <c r="B33" s="25"/>
      <c r="C33" s="106" t="s">
        <v>19</v>
      </c>
      <c r="D33" s="106"/>
      <c r="E33" s="106"/>
      <c r="F33" s="110" t="str">
        <f ca="1">CONCATENATE(G6," DE ",G5, " DE ",YEAR(N45)," (1)")</f>
        <v>1 DE SEPTIEMBRE DE 2025 (1)</v>
      </c>
      <c r="G33" s="110"/>
      <c r="H33" s="110"/>
      <c r="I33" s="16"/>
      <c r="J33" s="17"/>
      <c r="N33" s="3" t="s">
        <v>21</v>
      </c>
    </row>
    <row r="34" spans="2:23" ht="15.75" customHeight="1" x14ac:dyDescent="0.25">
      <c r="B34" s="23"/>
      <c r="C34" s="107"/>
      <c r="D34" s="107"/>
      <c r="E34" s="107"/>
      <c r="F34" s="111"/>
      <c r="G34" s="111"/>
      <c r="H34" s="111"/>
      <c r="I34" s="18"/>
      <c r="J34" s="19"/>
      <c r="N34" s="3" t="s">
        <v>22</v>
      </c>
    </row>
    <row r="35" spans="2:23" ht="15" customHeight="1" x14ac:dyDescent="0.25">
      <c r="B35" s="23"/>
      <c r="C35" s="107"/>
      <c r="D35" s="107"/>
      <c r="E35" s="107"/>
      <c r="F35" s="111"/>
      <c r="G35" s="111"/>
      <c r="H35" s="111"/>
      <c r="I35" s="5"/>
      <c r="J35" s="7"/>
      <c r="N35" s="3" t="s">
        <v>23</v>
      </c>
    </row>
    <row r="36" spans="2:23" ht="15" customHeight="1" x14ac:dyDescent="0.25">
      <c r="B36" s="23"/>
      <c r="C36" s="107"/>
      <c r="D36" s="107"/>
      <c r="E36" s="107"/>
      <c r="F36" s="111"/>
      <c r="G36" s="111"/>
      <c r="H36" s="111"/>
      <c r="I36" s="5"/>
      <c r="J36" s="7"/>
      <c r="N36" s="3" t="s">
        <v>24</v>
      </c>
    </row>
    <row r="37" spans="2:23" ht="15" customHeight="1" x14ac:dyDescent="0.25">
      <c r="B37" s="23"/>
      <c r="C37" s="107"/>
      <c r="D37" s="107"/>
      <c r="E37" s="107"/>
      <c r="F37" s="111"/>
      <c r="G37" s="111"/>
      <c r="H37" s="111"/>
      <c r="I37" s="5"/>
      <c r="J37" s="7"/>
      <c r="N37" s="3" t="s">
        <v>25</v>
      </c>
    </row>
    <row r="38" spans="2:23" ht="15" customHeight="1" x14ac:dyDescent="0.25">
      <c r="B38" s="4"/>
      <c r="C38" s="107"/>
      <c r="D38" s="107"/>
      <c r="E38" s="107"/>
      <c r="F38" s="111"/>
      <c r="G38" s="111"/>
      <c r="H38" s="111"/>
      <c r="I38" s="5"/>
      <c r="J38" s="7"/>
      <c r="N38" s="3" t="s">
        <v>26</v>
      </c>
    </row>
    <row r="39" spans="2:23" ht="15" customHeight="1" x14ac:dyDescent="0.25">
      <c r="B39" s="4"/>
      <c r="C39" s="107"/>
      <c r="D39" s="107"/>
      <c r="E39" s="107"/>
      <c r="F39" s="111"/>
      <c r="G39" s="111"/>
      <c r="H39" s="111"/>
      <c r="I39" s="5"/>
      <c r="J39" s="7"/>
      <c r="N39" s="3" t="s">
        <v>27</v>
      </c>
      <c r="T39" s="27"/>
    </row>
    <row r="40" spans="2:23" ht="15.75" thickBot="1" x14ac:dyDescent="0.3">
      <c r="B40" s="4"/>
      <c r="C40" s="5"/>
      <c r="D40" s="6"/>
      <c r="E40" s="5"/>
      <c r="F40" s="5"/>
      <c r="G40" s="5"/>
      <c r="H40" s="5"/>
      <c r="I40" s="5"/>
      <c r="J40" s="7"/>
      <c r="N40" s="3" t="s">
        <v>28</v>
      </c>
    </row>
    <row r="41" spans="2:23" ht="32.25" customHeight="1" thickBot="1" x14ac:dyDescent="0.35">
      <c r="B41" s="4"/>
      <c r="C41" s="67" t="s">
        <v>35</v>
      </c>
      <c r="D41" s="108" t="str">
        <f>G9</f>
        <v>XX SAS</v>
      </c>
      <c r="E41" s="109"/>
      <c r="F41" s="63"/>
      <c r="G41" s="104" t="s">
        <v>39</v>
      </c>
      <c r="H41" s="105"/>
      <c r="I41" s="77">
        <f>G18+G19</f>
        <v>0.76</v>
      </c>
      <c r="J41" s="7"/>
      <c r="L41" s="26"/>
      <c r="N41" s="3" t="s">
        <v>29</v>
      </c>
      <c r="T41" s="24"/>
      <c r="U41" s="24"/>
      <c r="V41" s="24"/>
      <c r="W41" s="24"/>
    </row>
    <row r="42" spans="2:23" ht="32.25" customHeight="1" thickBot="1" x14ac:dyDescent="0.35">
      <c r="B42" s="4"/>
      <c r="C42" s="67" t="s">
        <v>32</v>
      </c>
      <c r="D42" s="108" t="str">
        <f>G10</f>
        <v>AUDI A3 SPORTBACK 1,4T</v>
      </c>
      <c r="E42" s="109"/>
      <c r="F42" s="63"/>
      <c r="G42" s="104" t="s">
        <v>40</v>
      </c>
      <c r="H42" s="105"/>
      <c r="I42" s="78">
        <f>I41/12</f>
        <v>6.3333333333333339E-2</v>
      </c>
      <c r="J42" s="7"/>
      <c r="N42" s="24" t="s">
        <v>30</v>
      </c>
      <c r="U42" s="27"/>
      <c r="V42" s="27"/>
      <c r="W42" s="27"/>
    </row>
    <row r="43" spans="2:23" ht="32.25" customHeight="1" thickBot="1" x14ac:dyDescent="0.35">
      <c r="B43" s="4"/>
      <c r="C43" s="67" t="s">
        <v>33</v>
      </c>
      <c r="D43" s="118">
        <f>G11</f>
        <v>1</v>
      </c>
      <c r="E43" s="119"/>
      <c r="F43" s="63"/>
      <c r="G43" s="104" t="s">
        <v>49</v>
      </c>
      <c r="H43" s="105"/>
      <c r="I43" s="79">
        <f ca="1">XIRR(M49:M80,L49:L80)</f>
        <v>1.1140066027641298</v>
      </c>
      <c r="J43" s="7"/>
      <c r="N43" s="3" t="s">
        <v>31</v>
      </c>
    </row>
    <row r="44" spans="2:23" ht="32.25" customHeight="1" thickBot="1" x14ac:dyDescent="0.35">
      <c r="B44" s="4"/>
      <c r="C44" s="102" t="s">
        <v>45</v>
      </c>
      <c r="D44" s="103"/>
      <c r="E44" s="64">
        <f>G16</f>
        <v>100015000</v>
      </c>
      <c r="F44" s="63"/>
      <c r="G44" s="104" t="s">
        <v>43</v>
      </c>
      <c r="H44" s="105"/>
      <c r="I44" s="80" t="str">
        <f>CONCATENATE(G23," meses")</f>
        <v>30 meses</v>
      </c>
      <c r="J44" s="7"/>
      <c r="S44" s="28"/>
    </row>
    <row r="45" spans="2:23" ht="32.25" customHeight="1" thickBot="1" x14ac:dyDescent="0.35">
      <c r="B45" s="4"/>
      <c r="C45" s="102" t="s">
        <v>51</v>
      </c>
      <c r="D45" s="103"/>
      <c r="E45" s="64">
        <f>E47</f>
        <v>7443525.5947969696</v>
      </c>
      <c r="F45" s="63"/>
      <c r="G45" s="104" t="s">
        <v>48</v>
      </c>
      <c r="H45" s="105"/>
      <c r="I45" s="80">
        <f>0.01*E44</f>
        <v>1000150</v>
      </c>
      <c r="J45" s="7"/>
      <c r="L45" s="30"/>
      <c r="M45" s="29"/>
      <c r="N45" s="24">
        <f ca="1">TODAY()</f>
        <v>45916</v>
      </c>
    </row>
    <row r="46" spans="2:23" ht="32.25" customHeight="1" thickBot="1" x14ac:dyDescent="0.35">
      <c r="B46" s="4"/>
      <c r="C46" s="102" t="s">
        <v>46</v>
      </c>
      <c r="D46" s="103"/>
      <c r="E46" s="64">
        <f>PPMT($G$21,C51,$G$24,-$G$16)+IPMT($G$20,C51,$G$24,-$G$16)</f>
        <v>7443525.5947969593</v>
      </c>
      <c r="F46" s="65"/>
      <c r="G46" s="104" t="s">
        <v>44</v>
      </c>
      <c r="H46" s="105"/>
      <c r="I46" s="80">
        <f>IF(G25="NO",0.012*((PPMT($G$21,C52,$G$24,-$G$16)+IPMT($G$21,C52,$G$24,-$G$16))*1.21*(G23)+G51+H51),0)</f>
        <v>0</v>
      </c>
      <c r="J46" s="7"/>
      <c r="N46" s="3">
        <v>30.416667</v>
      </c>
    </row>
    <row r="47" spans="2:23" ht="32.25" customHeight="1" thickBot="1" x14ac:dyDescent="0.35">
      <c r="B47" s="4"/>
      <c r="C47" s="102" t="s">
        <v>47</v>
      </c>
      <c r="D47" s="103"/>
      <c r="E47" s="66">
        <f>PPMT($G$21,C52,$G$24,-$G$16)+IPMT($G$21,C52,$G$24,-$G$16)</f>
        <v>7443525.5947969696</v>
      </c>
      <c r="F47" s="65"/>
      <c r="G47" s="63"/>
      <c r="H47" s="63"/>
      <c r="I47" s="63"/>
      <c r="J47" s="7"/>
    </row>
    <row r="48" spans="2:23" ht="22.5" customHeight="1" x14ac:dyDescent="0.25">
      <c r="B48" s="4"/>
      <c r="C48" s="5"/>
      <c r="D48" s="5"/>
      <c r="E48" s="5"/>
      <c r="F48" s="20"/>
      <c r="G48" s="5"/>
      <c r="H48" s="5"/>
      <c r="I48" s="5"/>
      <c r="J48" s="7"/>
    </row>
    <row r="49" spans="2:14" ht="22.5" customHeight="1" x14ac:dyDescent="0.25">
      <c r="B49" s="37"/>
      <c r="C49" s="38"/>
      <c r="D49" s="38"/>
      <c r="E49" s="38"/>
      <c r="F49" s="38"/>
      <c r="G49" s="38"/>
      <c r="H49" s="38"/>
      <c r="I49" s="38"/>
      <c r="J49" s="39"/>
      <c r="L49" s="24">
        <f ca="1">N45</f>
        <v>45916</v>
      </c>
      <c r="M49" s="26">
        <f>-1*(E44-I45-I46)</f>
        <v>-99014850</v>
      </c>
    </row>
    <row r="50" spans="2:14" ht="22.5" customHeight="1" x14ac:dyDescent="0.25">
      <c r="B50" s="37"/>
      <c r="C50" s="61" t="s">
        <v>7</v>
      </c>
      <c r="D50" s="61" t="s">
        <v>6</v>
      </c>
      <c r="E50" s="61" t="s">
        <v>1</v>
      </c>
      <c r="F50" s="61" t="s">
        <v>2</v>
      </c>
      <c r="G50" s="61" t="s">
        <v>3</v>
      </c>
      <c r="H50" s="61" t="s">
        <v>4</v>
      </c>
      <c r="I50" s="61" t="s">
        <v>5</v>
      </c>
      <c r="J50" s="39"/>
      <c r="L50" s="24">
        <f ca="1">L49+$N$46</f>
        <v>45946.416666999998</v>
      </c>
      <c r="M50" s="26">
        <f t="shared" ref="M50:M80" si="0">G51</f>
        <v>7443525.5947969593</v>
      </c>
      <c r="N50" s="3" t="s">
        <v>15</v>
      </c>
    </row>
    <row r="51" spans="2:14" ht="22.5" customHeight="1" x14ac:dyDescent="0.25">
      <c r="B51" s="37"/>
      <c r="C51" s="50">
        <v>1</v>
      </c>
      <c r="D51" s="58">
        <f>G16</f>
        <v>100015000</v>
      </c>
      <c r="E51" s="58">
        <f>PPMT($G$21,C51,$G$24,-$G$16)</f>
        <v>1109242.2614636361</v>
      </c>
      <c r="F51" s="58">
        <f>D51*G20</f>
        <v>6334283.3333333237</v>
      </c>
      <c r="G51" s="58">
        <f>E51+F51</f>
        <v>7443525.5947969593</v>
      </c>
      <c r="H51" s="58">
        <f>G51*0.21</f>
        <v>1563140.3749073613</v>
      </c>
      <c r="I51" s="58">
        <f>G51+H51</f>
        <v>9006665.9697043207</v>
      </c>
      <c r="J51" s="39"/>
      <c r="L51" s="24">
        <f t="shared" ref="L51:L80" ca="1" si="1">L50+$N$46</f>
        <v>45976.833333999995</v>
      </c>
      <c r="M51" s="26">
        <f t="shared" si="0"/>
        <v>7443525.5947969696</v>
      </c>
      <c r="N51" s="3" t="s">
        <v>16</v>
      </c>
    </row>
    <row r="52" spans="2:14" ht="22.5" customHeight="1" x14ac:dyDescent="0.25">
      <c r="B52" s="37"/>
      <c r="C52" s="51">
        <v>2</v>
      </c>
      <c r="D52" s="59">
        <f>D51-E51</f>
        <v>98905757.738536358</v>
      </c>
      <c r="E52" s="59">
        <f t="shared" ref="E52:E80" si="2">PPMT($G$21,C52,$G$24,-$G$16)</f>
        <v>1179494.2713563333</v>
      </c>
      <c r="F52" s="62">
        <f>IPMT($G$21,C52,$G$24,-$G$16)</f>
        <v>6264031.3234406365</v>
      </c>
      <c r="G52" s="59">
        <f>E52+F52</f>
        <v>7443525.5947969696</v>
      </c>
      <c r="H52" s="59">
        <f>G52*0.21</f>
        <v>1563140.3749073634</v>
      </c>
      <c r="I52" s="59">
        <f>G52+H52</f>
        <v>9006665.9697043337</v>
      </c>
      <c r="J52" s="39"/>
      <c r="L52" s="24">
        <f t="shared" ca="1" si="1"/>
        <v>46007.250000999993</v>
      </c>
      <c r="M52" s="26">
        <f t="shared" si="0"/>
        <v>7443525.5947969705</v>
      </c>
    </row>
    <row r="53" spans="2:14" ht="22.5" customHeight="1" x14ac:dyDescent="0.25">
      <c r="B53" s="37"/>
      <c r="C53" s="50">
        <v>3</v>
      </c>
      <c r="D53" s="58">
        <f t="shared" ref="D53:D81" si="3">D52-E52</f>
        <v>97726263.467180029</v>
      </c>
      <c r="E53" s="58">
        <f t="shared" si="2"/>
        <v>1254195.575208901</v>
      </c>
      <c r="F53" s="58">
        <f t="shared" ref="F53:F81" si="4">IPMT($G$21,C53,$G$24,-$G$16)</f>
        <v>6189330.0195880691</v>
      </c>
      <c r="G53" s="58">
        <f>E53+F53</f>
        <v>7443525.5947969705</v>
      </c>
      <c r="H53" s="58">
        <f t="shared" ref="H53:H81" si="5">G53*0.21</f>
        <v>1563140.3749073637</v>
      </c>
      <c r="I53" s="58">
        <f t="shared" ref="I53:I80" si="6">G53+H53</f>
        <v>9006665.9697043337</v>
      </c>
      <c r="J53" s="39"/>
      <c r="L53" s="24">
        <f t="shared" ca="1" si="1"/>
        <v>46037.666667999991</v>
      </c>
      <c r="M53" s="26">
        <f t="shared" si="0"/>
        <v>7443525.5947969696</v>
      </c>
      <c r="N53" s="21">
        <v>0.105</v>
      </c>
    </row>
    <row r="54" spans="2:14" ht="22.5" customHeight="1" x14ac:dyDescent="0.25">
      <c r="B54" s="37"/>
      <c r="C54" s="51">
        <v>4</v>
      </c>
      <c r="D54" s="59">
        <f t="shared" si="3"/>
        <v>96472067.891971126</v>
      </c>
      <c r="E54" s="59">
        <f t="shared" si="2"/>
        <v>1333627.961638798</v>
      </c>
      <c r="F54" s="59">
        <f t="shared" si="4"/>
        <v>6109897.6331581715</v>
      </c>
      <c r="G54" s="59">
        <f t="shared" ref="G54:G81" si="7">E54+F54</f>
        <v>7443525.5947969696</v>
      </c>
      <c r="H54" s="59">
        <f t="shared" si="5"/>
        <v>1563140.3749073634</v>
      </c>
      <c r="I54" s="59">
        <f t="shared" si="6"/>
        <v>9006665.9697043337</v>
      </c>
      <c r="J54" s="39"/>
      <c r="L54" s="24">
        <f t="shared" ca="1" si="1"/>
        <v>46068.083334999988</v>
      </c>
      <c r="M54" s="26">
        <f t="shared" si="0"/>
        <v>7443525.5947969705</v>
      </c>
      <c r="N54" s="22">
        <v>0.21</v>
      </c>
    </row>
    <row r="55" spans="2:14" ht="22.5" customHeight="1" x14ac:dyDescent="0.25">
      <c r="B55" s="37"/>
      <c r="C55" s="50">
        <v>5</v>
      </c>
      <c r="D55" s="58">
        <f t="shared" si="3"/>
        <v>95138439.930332333</v>
      </c>
      <c r="E55" s="58">
        <f t="shared" si="2"/>
        <v>1418091.0658759221</v>
      </c>
      <c r="F55" s="58">
        <f t="shared" si="4"/>
        <v>6025434.5289210482</v>
      </c>
      <c r="G55" s="58">
        <f t="shared" si="7"/>
        <v>7443525.5947969705</v>
      </c>
      <c r="H55" s="58">
        <f t="shared" si="5"/>
        <v>1563140.3749073637</v>
      </c>
      <c r="I55" s="58">
        <f t="shared" si="6"/>
        <v>9006665.9697043337</v>
      </c>
      <c r="J55" s="39"/>
      <c r="L55" s="24">
        <f t="shared" ca="1" si="1"/>
        <v>46098.500001999986</v>
      </c>
      <c r="M55" s="26">
        <f t="shared" si="0"/>
        <v>7443525.5947969705</v>
      </c>
    </row>
    <row r="56" spans="2:14" ht="22.5" customHeight="1" x14ac:dyDescent="0.25">
      <c r="B56" s="37"/>
      <c r="C56" s="51">
        <v>6</v>
      </c>
      <c r="D56" s="59">
        <f t="shared" si="3"/>
        <v>93720348.864456415</v>
      </c>
      <c r="E56" s="59">
        <f t="shared" si="2"/>
        <v>1507903.5000480637</v>
      </c>
      <c r="F56" s="59">
        <f t="shared" si="4"/>
        <v>5935622.0947489068</v>
      </c>
      <c r="G56" s="59">
        <f t="shared" si="7"/>
        <v>7443525.5947969705</v>
      </c>
      <c r="H56" s="59">
        <f t="shared" si="5"/>
        <v>1563140.3749073637</v>
      </c>
      <c r="I56" s="59">
        <f t="shared" si="6"/>
        <v>9006665.9697043337</v>
      </c>
      <c r="J56" s="39"/>
      <c r="L56" s="24">
        <f t="shared" ca="1" si="1"/>
        <v>46128.916668999984</v>
      </c>
      <c r="M56" s="26">
        <f t="shared" si="0"/>
        <v>7443525.5947969705</v>
      </c>
    </row>
    <row r="57" spans="2:14" ht="22.5" customHeight="1" x14ac:dyDescent="0.25">
      <c r="B57" s="37"/>
      <c r="C57" s="50">
        <v>7</v>
      </c>
      <c r="D57" s="58">
        <f t="shared" si="3"/>
        <v>92212445.364408344</v>
      </c>
      <c r="E57" s="58">
        <f t="shared" si="2"/>
        <v>1603404.0550511074</v>
      </c>
      <c r="F57" s="58">
        <f t="shared" si="4"/>
        <v>5840121.5397458626</v>
      </c>
      <c r="G57" s="58">
        <f t="shared" si="7"/>
        <v>7443525.5947969705</v>
      </c>
      <c r="H57" s="58">
        <f t="shared" si="5"/>
        <v>1563140.3749073637</v>
      </c>
      <c r="I57" s="58">
        <f t="shared" si="6"/>
        <v>9006665.9697043337</v>
      </c>
      <c r="J57" s="39"/>
      <c r="L57" s="24">
        <f t="shared" ca="1" si="1"/>
        <v>46159.333335999982</v>
      </c>
      <c r="M57" s="26">
        <f t="shared" si="0"/>
        <v>7443525.5947969705</v>
      </c>
    </row>
    <row r="58" spans="2:14" ht="22.5" customHeight="1" x14ac:dyDescent="0.25">
      <c r="B58" s="37"/>
      <c r="C58" s="51">
        <v>8</v>
      </c>
      <c r="D58" s="59">
        <f t="shared" si="3"/>
        <v>90609041.309357241</v>
      </c>
      <c r="E58" s="59">
        <f t="shared" si="2"/>
        <v>1704952.9785376776</v>
      </c>
      <c r="F58" s="59">
        <f t="shared" si="4"/>
        <v>5738572.6162592927</v>
      </c>
      <c r="G58" s="59">
        <f t="shared" si="7"/>
        <v>7443525.5947969705</v>
      </c>
      <c r="H58" s="59">
        <f t="shared" si="5"/>
        <v>1563140.3749073637</v>
      </c>
      <c r="I58" s="59">
        <f t="shared" si="6"/>
        <v>9006665.9697043337</v>
      </c>
      <c r="J58" s="39"/>
      <c r="L58" s="24">
        <f t="shared" ca="1" si="1"/>
        <v>46189.750002999979</v>
      </c>
      <c r="M58" s="26">
        <f t="shared" si="0"/>
        <v>7443525.5947969705</v>
      </c>
    </row>
    <row r="59" spans="2:14" ht="22.5" customHeight="1" x14ac:dyDescent="0.25">
      <c r="B59" s="37"/>
      <c r="C59" s="50">
        <v>9</v>
      </c>
      <c r="D59" s="58">
        <f t="shared" si="3"/>
        <v>88904088.330819562</v>
      </c>
      <c r="E59" s="58">
        <f t="shared" si="2"/>
        <v>1812933.3338450643</v>
      </c>
      <c r="F59" s="58">
        <f t="shared" si="4"/>
        <v>5630592.2609519064</v>
      </c>
      <c r="G59" s="58">
        <f t="shared" si="7"/>
        <v>7443525.5947969705</v>
      </c>
      <c r="H59" s="58">
        <f t="shared" si="5"/>
        <v>1563140.3749073637</v>
      </c>
      <c r="I59" s="58">
        <f t="shared" si="6"/>
        <v>9006665.9697043337</v>
      </c>
      <c r="J59" s="39"/>
      <c r="L59" s="24">
        <f t="shared" ca="1" si="1"/>
        <v>46220.166669999977</v>
      </c>
      <c r="M59" s="26">
        <f t="shared" si="0"/>
        <v>7443525.5947969696</v>
      </c>
    </row>
    <row r="60" spans="2:14" ht="22.5" customHeight="1" x14ac:dyDescent="0.25">
      <c r="B60" s="37"/>
      <c r="C60" s="51">
        <v>10</v>
      </c>
      <c r="D60" s="59">
        <f t="shared" si="3"/>
        <v>87091154.996974498</v>
      </c>
      <c r="E60" s="59">
        <f t="shared" si="2"/>
        <v>1927752.4449885848</v>
      </c>
      <c r="F60" s="59">
        <f t="shared" si="4"/>
        <v>5515773.1498083845</v>
      </c>
      <c r="G60" s="59">
        <f t="shared" si="7"/>
        <v>7443525.5947969696</v>
      </c>
      <c r="H60" s="59">
        <f t="shared" si="5"/>
        <v>1563140.3749073634</v>
      </c>
      <c r="I60" s="59">
        <f t="shared" si="6"/>
        <v>9006665.9697043337</v>
      </c>
      <c r="J60" s="39"/>
      <c r="L60" s="24">
        <f t="shared" ca="1" si="1"/>
        <v>46250.583336999975</v>
      </c>
      <c r="M60" s="26">
        <f t="shared" si="0"/>
        <v>7443525.5947969705</v>
      </c>
    </row>
    <row r="61" spans="2:14" ht="22.5" customHeight="1" x14ac:dyDescent="0.25">
      <c r="B61" s="37"/>
      <c r="C61" s="50">
        <v>11</v>
      </c>
      <c r="D61" s="58">
        <f t="shared" si="3"/>
        <v>85163402.551985919</v>
      </c>
      <c r="E61" s="58">
        <f t="shared" si="2"/>
        <v>2049843.4331711952</v>
      </c>
      <c r="F61" s="58">
        <f t="shared" si="4"/>
        <v>5393682.1616257755</v>
      </c>
      <c r="G61" s="58">
        <f t="shared" si="7"/>
        <v>7443525.5947969705</v>
      </c>
      <c r="H61" s="58">
        <f t="shared" si="5"/>
        <v>1563140.3749073637</v>
      </c>
      <c r="I61" s="58">
        <f t="shared" si="6"/>
        <v>9006665.9697043337</v>
      </c>
      <c r="J61" s="39"/>
      <c r="L61" s="24">
        <f t="shared" ca="1" si="1"/>
        <v>46281.000003999972</v>
      </c>
      <c r="M61" s="26">
        <f t="shared" si="0"/>
        <v>7443525.5947969705</v>
      </c>
    </row>
    <row r="62" spans="2:14" ht="22.5" customHeight="1" x14ac:dyDescent="0.25">
      <c r="B62" s="37"/>
      <c r="C62" s="51">
        <v>12</v>
      </c>
      <c r="D62" s="59">
        <f t="shared" si="3"/>
        <v>83113559.118814722</v>
      </c>
      <c r="E62" s="59">
        <f t="shared" si="2"/>
        <v>2179666.8506053709</v>
      </c>
      <c r="F62" s="59">
        <f t="shared" si="4"/>
        <v>5263858.7441915991</v>
      </c>
      <c r="G62" s="59">
        <f t="shared" si="7"/>
        <v>7443525.5947969705</v>
      </c>
      <c r="H62" s="59">
        <f t="shared" si="5"/>
        <v>1563140.3749073637</v>
      </c>
      <c r="I62" s="59">
        <f t="shared" si="6"/>
        <v>9006665.9697043337</v>
      </c>
      <c r="J62" s="39"/>
      <c r="L62" s="24">
        <f t="shared" ca="1" si="1"/>
        <v>46311.41667099997</v>
      </c>
      <c r="M62" s="26">
        <f t="shared" si="0"/>
        <v>7443525.5947969705</v>
      </c>
    </row>
    <row r="63" spans="2:14" ht="22.5" customHeight="1" x14ac:dyDescent="0.25">
      <c r="B63" s="37"/>
      <c r="C63" s="50">
        <v>13</v>
      </c>
      <c r="D63" s="58">
        <f t="shared" si="3"/>
        <v>80933892.268209353</v>
      </c>
      <c r="E63" s="58">
        <f t="shared" si="2"/>
        <v>2317712.4178103777</v>
      </c>
      <c r="F63" s="58">
        <f t="shared" si="4"/>
        <v>5125813.1769865928</v>
      </c>
      <c r="G63" s="58">
        <f t="shared" si="7"/>
        <v>7443525.5947969705</v>
      </c>
      <c r="H63" s="58">
        <f t="shared" si="5"/>
        <v>1563140.3749073637</v>
      </c>
      <c r="I63" s="58">
        <f t="shared" si="6"/>
        <v>9006665.9697043337</v>
      </c>
      <c r="J63" s="39"/>
      <c r="L63" s="24">
        <f t="shared" ca="1" si="1"/>
        <v>46341.833337999968</v>
      </c>
      <c r="M63" s="26">
        <f t="shared" si="0"/>
        <v>7443525.5947969705</v>
      </c>
    </row>
    <row r="64" spans="2:14" ht="22.5" customHeight="1" x14ac:dyDescent="0.25">
      <c r="B64" s="37"/>
      <c r="C64" s="51">
        <v>14</v>
      </c>
      <c r="D64" s="59">
        <f t="shared" si="3"/>
        <v>78616179.850398973</v>
      </c>
      <c r="E64" s="59">
        <f t="shared" si="2"/>
        <v>2464500.8709383681</v>
      </c>
      <c r="F64" s="59">
        <f t="shared" si="4"/>
        <v>4979024.7238586023</v>
      </c>
      <c r="G64" s="59">
        <f t="shared" si="7"/>
        <v>7443525.5947969705</v>
      </c>
      <c r="H64" s="59">
        <f t="shared" si="5"/>
        <v>1563140.3749073637</v>
      </c>
      <c r="I64" s="59">
        <f t="shared" si="6"/>
        <v>9006665.9697043337</v>
      </c>
      <c r="J64" s="39"/>
      <c r="L64" s="24">
        <f t="shared" ca="1" si="1"/>
        <v>46372.250004999965</v>
      </c>
      <c r="M64" s="26">
        <f t="shared" si="0"/>
        <v>7443525.5947969705</v>
      </c>
    </row>
    <row r="65" spans="2:13" ht="22.5" customHeight="1" x14ac:dyDescent="0.25">
      <c r="B65" s="37"/>
      <c r="C65" s="50">
        <v>15</v>
      </c>
      <c r="D65" s="58">
        <f t="shared" si="3"/>
        <v>76151678.979460597</v>
      </c>
      <c r="E65" s="58">
        <f t="shared" si="2"/>
        <v>2620585.9260977986</v>
      </c>
      <c r="F65" s="58">
        <f t="shared" si="4"/>
        <v>4822939.6686991714</v>
      </c>
      <c r="G65" s="58">
        <f t="shared" si="7"/>
        <v>7443525.5947969705</v>
      </c>
      <c r="H65" s="58">
        <f t="shared" si="5"/>
        <v>1563140.3749073637</v>
      </c>
      <c r="I65" s="58">
        <f t="shared" si="6"/>
        <v>9006665.9697043337</v>
      </c>
      <c r="J65" s="39"/>
      <c r="L65" s="24">
        <f t="shared" ca="1" si="1"/>
        <v>46402.666671999963</v>
      </c>
      <c r="M65" s="26">
        <f t="shared" si="0"/>
        <v>7443525.5947969705</v>
      </c>
    </row>
    <row r="66" spans="2:13" ht="22.5" customHeight="1" x14ac:dyDescent="0.25">
      <c r="B66" s="37"/>
      <c r="C66" s="51">
        <v>16</v>
      </c>
      <c r="D66" s="59">
        <f t="shared" si="3"/>
        <v>73531093.053362802</v>
      </c>
      <c r="E66" s="59">
        <f t="shared" si="2"/>
        <v>2786556.3680839925</v>
      </c>
      <c r="F66" s="59">
        <f t="shared" si="4"/>
        <v>4656969.2267129784</v>
      </c>
      <c r="G66" s="59">
        <f t="shared" si="7"/>
        <v>7443525.5947969705</v>
      </c>
      <c r="H66" s="59">
        <f t="shared" si="5"/>
        <v>1563140.3749073637</v>
      </c>
      <c r="I66" s="59">
        <f t="shared" si="6"/>
        <v>9006665.9697043337</v>
      </c>
      <c r="J66" s="39"/>
      <c r="L66" s="24">
        <f t="shared" ca="1" si="1"/>
        <v>46433.083338999961</v>
      </c>
      <c r="M66" s="26">
        <f t="shared" si="0"/>
        <v>7443525.5947969705</v>
      </c>
    </row>
    <row r="67" spans="2:13" ht="22.5" customHeight="1" x14ac:dyDescent="0.25">
      <c r="B67" s="37"/>
      <c r="C67" s="50">
        <v>17</v>
      </c>
      <c r="D67" s="58">
        <f t="shared" si="3"/>
        <v>70744536.685278803</v>
      </c>
      <c r="E67" s="58">
        <f t="shared" si="2"/>
        <v>2963038.271395979</v>
      </c>
      <c r="F67" s="58">
        <f t="shared" si="4"/>
        <v>4480487.323400991</v>
      </c>
      <c r="G67" s="58">
        <f t="shared" si="7"/>
        <v>7443525.5947969705</v>
      </c>
      <c r="H67" s="58">
        <f t="shared" si="5"/>
        <v>1563140.3749073637</v>
      </c>
      <c r="I67" s="58">
        <f t="shared" si="6"/>
        <v>9006665.9697043337</v>
      </c>
      <c r="J67" s="39"/>
      <c r="L67" s="24">
        <f t="shared" ca="1" si="1"/>
        <v>46463.500005999958</v>
      </c>
      <c r="M67" s="26">
        <f t="shared" si="0"/>
        <v>7443525.5947969686</v>
      </c>
    </row>
    <row r="68" spans="2:13" ht="22.5" customHeight="1" x14ac:dyDescent="0.25">
      <c r="B68" s="37"/>
      <c r="C68" s="51">
        <v>18</v>
      </c>
      <c r="D68" s="59">
        <f t="shared" si="3"/>
        <v>67781498.413882822</v>
      </c>
      <c r="E68" s="59">
        <f t="shared" si="2"/>
        <v>3150697.3619177234</v>
      </c>
      <c r="F68" s="59">
        <f t="shared" si="4"/>
        <v>4292828.2328792447</v>
      </c>
      <c r="G68" s="59">
        <f t="shared" si="7"/>
        <v>7443525.5947969686</v>
      </c>
      <c r="H68" s="59">
        <f t="shared" si="5"/>
        <v>1563140.3749073634</v>
      </c>
      <c r="I68" s="59">
        <f t="shared" si="6"/>
        <v>9006665.9697043318</v>
      </c>
      <c r="J68" s="39"/>
      <c r="L68" s="24">
        <f t="shared" ca="1" si="1"/>
        <v>46493.916672999956</v>
      </c>
      <c r="M68" s="26">
        <f t="shared" si="0"/>
        <v>7443525.5947969705</v>
      </c>
    </row>
    <row r="69" spans="2:13" ht="22.5" customHeight="1" x14ac:dyDescent="0.25">
      <c r="B69" s="37"/>
      <c r="C69" s="50">
        <v>19</v>
      </c>
      <c r="D69" s="58">
        <f t="shared" si="3"/>
        <v>64630801.051965095</v>
      </c>
      <c r="E69" s="58">
        <f t="shared" si="2"/>
        <v>3350241.528172513</v>
      </c>
      <c r="F69" s="58">
        <f t="shared" si="4"/>
        <v>4093284.066624457</v>
      </c>
      <c r="G69" s="58">
        <f t="shared" si="7"/>
        <v>7443525.5947969705</v>
      </c>
      <c r="H69" s="58">
        <f t="shared" si="5"/>
        <v>1563140.3749073637</v>
      </c>
      <c r="I69" s="58">
        <f t="shared" si="6"/>
        <v>9006665.9697043337</v>
      </c>
      <c r="J69" s="39"/>
      <c r="L69" s="24">
        <f t="shared" ca="1" si="1"/>
        <v>46524.333339999954</v>
      </c>
      <c r="M69" s="26">
        <f t="shared" si="0"/>
        <v>7443525.5947969705</v>
      </c>
    </row>
    <row r="70" spans="2:13" ht="22.5" customHeight="1" x14ac:dyDescent="0.25">
      <c r="B70" s="37"/>
      <c r="C70" s="51">
        <v>20</v>
      </c>
      <c r="D70" s="59">
        <f t="shared" si="3"/>
        <v>61280559.52379258</v>
      </c>
      <c r="E70" s="59">
        <f t="shared" si="2"/>
        <v>3562423.4916234389</v>
      </c>
      <c r="F70" s="59">
        <f t="shared" si="4"/>
        <v>3881102.1031735316</v>
      </c>
      <c r="G70" s="59">
        <f t="shared" si="7"/>
        <v>7443525.5947969705</v>
      </c>
      <c r="H70" s="59">
        <f t="shared" si="5"/>
        <v>1563140.3749073637</v>
      </c>
      <c r="I70" s="59">
        <f t="shared" si="6"/>
        <v>9006665.9697043337</v>
      </c>
      <c r="J70" s="39"/>
      <c r="L70" s="24">
        <f t="shared" ca="1" si="1"/>
        <v>46554.750006999951</v>
      </c>
      <c r="M70" s="26">
        <f t="shared" si="0"/>
        <v>7443525.5947969705</v>
      </c>
    </row>
    <row r="71" spans="2:13" ht="22.5" customHeight="1" x14ac:dyDescent="0.25">
      <c r="B71" s="37"/>
      <c r="C71" s="50">
        <v>21</v>
      </c>
      <c r="D71" s="58">
        <f t="shared" si="3"/>
        <v>57718136.032169141</v>
      </c>
      <c r="E71" s="58">
        <f t="shared" si="2"/>
        <v>3788043.6460929238</v>
      </c>
      <c r="F71" s="58">
        <f t="shared" si="4"/>
        <v>3655481.9487040462</v>
      </c>
      <c r="G71" s="58">
        <f t="shared" si="7"/>
        <v>7443525.5947969705</v>
      </c>
      <c r="H71" s="58">
        <f t="shared" si="5"/>
        <v>1563140.3749073637</v>
      </c>
      <c r="I71" s="58">
        <f t="shared" si="6"/>
        <v>9006665.9697043337</v>
      </c>
      <c r="J71" s="39"/>
      <c r="L71" s="24">
        <f t="shared" ca="1" si="1"/>
        <v>46585.166673999949</v>
      </c>
      <c r="M71" s="26">
        <f t="shared" si="0"/>
        <v>7443525.5947969686</v>
      </c>
    </row>
    <row r="72" spans="2:13" ht="22.5" customHeight="1" x14ac:dyDescent="0.25">
      <c r="B72" s="37"/>
      <c r="C72" s="51">
        <v>22</v>
      </c>
      <c r="D72" s="59">
        <f t="shared" si="3"/>
        <v>53930092.386076219</v>
      </c>
      <c r="E72" s="59">
        <f t="shared" si="2"/>
        <v>4027953.0770121417</v>
      </c>
      <c r="F72" s="59">
        <f t="shared" si="4"/>
        <v>3415572.5177848274</v>
      </c>
      <c r="G72" s="59">
        <f t="shared" si="7"/>
        <v>7443525.5947969686</v>
      </c>
      <c r="H72" s="59">
        <f t="shared" si="5"/>
        <v>1563140.3749073634</v>
      </c>
      <c r="I72" s="59">
        <f t="shared" si="6"/>
        <v>9006665.9697043318</v>
      </c>
      <c r="J72" s="39"/>
      <c r="L72" s="24">
        <f t="shared" ca="1" si="1"/>
        <v>46615.583340999947</v>
      </c>
      <c r="M72" s="26">
        <f t="shared" si="0"/>
        <v>7443525.5947969705</v>
      </c>
    </row>
    <row r="73" spans="2:13" ht="22.5" customHeight="1" x14ac:dyDescent="0.25">
      <c r="B73" s="37"/>
      <c r="C73" s="50">
        <v>23</v>
      </c>
      <c r="D73" s="58">
        <f t="shared" si="3"/>
        <v>49902139.309064075</v>
      </c>
      <c r="E73" s="58">
        <f t="shared" si="2"/>
        <v>4283056.7718895776</v>
      </c>
      <c r="F73" s="58">
        <f t="shared" si="4"/>
        <v>3160468.8229073924</v>
      </c>
      <c r="G73" s="58">
        <f t="shared" si="7"/>
        <v>7443525.5947969705</v>
      </c>
      <c r="H73" s="58">
        <f t="shared" si="5"/>
        <v>1563140.3749073637</v>
      </c>
      <c r="I73" s="58">
        <f t="shared" si="6"/>
        <v>9006665.9697043337</v>
      </c>
      <c r="J73" s="39"/>
      <c r="L73" s="24">
        <f t="shared" ca="1" si="1"/>
        <v>46646.000007999945</v>
      </c>
      <c r="M73" s="26">
        <f t="shared" si="0"/>
        <v>7443525.5947969696</v>
      </c>
    </row>
    <row r="74" spans="2:13" ht="22.5" customHeight="1" x14ac:dyDescent="0.25">
      <c r="B74" s="37"/>
      <c r="C74" s="51">
        <v>24</v>
      </c>
      <c r="D74" s="59">
        <f t="shared" si="3"/>
        <v>45619082.537174501</v>
      </c>
      <c r="E74" s="59">
        <f t="shared" si="2"/>
        <v>4554317.0341092506</v>
      </c>
      <c r="F74" s="59">
        <f t="shared" si="4"/>
        <v>2889208.5606877189</v>
      </c>
      <c r="G74" s="59">
        <f t="shared" si="7"/>
        <v>7443525.5947969696</v>
      </c>
      <c r="H74" s="59">
        <f t="shared" si="5"/>
        <v>1563140.3749073634</v>
      </c>
      <c r="I74" s="59">
        <f t="shared" si="6"/>
        <v>9006665.9697043337</v>
      </c>
      <c r="J74" s="39"/>
      <c r="L74" s="24">
        <f t="shared" ca="1" si="1"/>
        <v>46676.416674999942</v>
      </c>
      <c r="M74" s="26">
        <f t="shared" si="0"/>
        <v>7443525.5947969696</v>
      </c>
    </row>
    <row r="75" spans="2:13" ht="22.5" customHeight="1" x14ac:dyDescent="0.25">
      <c r="B75" s="37"/>
      <c r="C75" s="50">
        <v>25</v>
      </c>
      <c r="D75" s="58">
        <f t="shared" si="3"/>
        <v>41064765.503065251</v>
      </c>
      <c r="E75" s="58">
        <f t="shared" si="2"/>
        <v>4842757.1129361698</v>
      </c>
      <c r="F75" s="58">
        <f t="shared" si="4"/>
        <v>2600768.4818607997</v>
      </c>
      <c r="G75" s="58">
        <f t="shared" si="7"/>
        <v>7443525.5947969696</v>
      </c>
      <c r="H75" s="58">
        <f t="shared" si="5"/>
        <v>1563140.3749073634</v>
      </c>
      <c r="I75" s="58">
        <f t="shared" si="6"/>
        <v>9006665.9697043337</v>
      </c>
      <c r="J75" s="39"/>
      <c r="L75" s="24">
        <f t="shared" ca="1" si="1"/>
        <v>46706.83334199994</v>
      </c>
      <c r="M75" s="26">
        <f t="shared" si="0"/>
        <v>7443525.5947969705</v>
      </c>
    </row>
    <row r="76" spans="2:13" ht="22.5" customHeight="1" x14ac:dyDescent="0.25">
      <c r="B76" s="37"/>
      <c r="C76" s="51">
        <v>26</v>
      </c>
      <c r="D76" s="59">
        <f t="shared" si="3"/>
        <v>36222008.390129082</v>
      </c>
      <c r="E76" s="59">
        <f t="shared" si="2"/>
        <v>5149465.0634221276</v>
      </c>
      <c r="F76" s="59">
        <f t="shared" si="4"/>
        <v>2294060.5313748424</v>
      </c>
      <c r="G76" s="59">
        <f t="shared" si="7"/>
        <v>7443525.5947969705</v>
      </c>
      <c r="H76" s="59">
        <f t="shared" si="5"/>
        <v>1563140.3749073637</v>
      </c>
      <c r="I76" s="59">
        <f t="shared" si="6"/>
        <v>9006665.9697043337</v>
      </c>
      <c r="J76" s="39"/>
      <c r="L76" s="24">
        <f t="shared" ca="1" si="1"/>
        <v>46737.250008999938</v>
      </c>
      <c r="M76" s="26">
        <f t="shared" si="0"/>
        <v>7443525.5947969696</v>
      </c>
    </row>
    <row r="77" spans="2:13" ht="22.5" customHeight="1" x14ac:dyDescent="0.25">
      <c r="B77" s="37"/>
      <c r="C77" s="50">
        <v>27</v>
      </c>
      <c r="D77" s="58">
        <f t="shared" si="3"/>
        <v>31072543.326706953</v>
      </c>
      <c r="E77" s="58">
        <f t="shared" si="2"/>
        <v>5475597.8507721955</v>
      </c>
      <c r="F77" s="58">
        <f t="shared" si="4"/>
        <v>1967927.7440247741</v>
      </c>
      <c r="G77" s="58">
        <f t="shared" si="7"/>
        <v>7443525.5947969696</v>
      </c>
      <c r="H77" s="58">
        <f t="shared" si="5"/>
        <v>1563140.3749073634</v>
      </c>
      <c r="I77" s="58">
        <f t="shared" si="6"/>
        <v>9006665.9697043337</v>
      </c>
      <c r="J77" s="39"/>
      <c r="L77" s="24">
        <f t="shared" ca="1" si="1"/>
        <v>46767.666675999935</v>
      </c>
      <c r="M77" s="26">
        <f t="shared" si="0"/>
        <v>7443525.5947969705</v>
      </c>
    </row>
    <row r="78" spans="2:13" ht="22.5" customHeight="1" x14ac:dyDescent="0.25">
      <c r="B78" s="37"/>
      <c r="C78" s="51">
        <v>28</v>
      </c>
      <c r="D78" s="59">
        <f t="shared" si="3"/>
        <v>25596945.475934759</v>
      </c>
      <c r="E78" s="59">
        <f t="shared" si="2"/>
        <v>5822385.7146544354</v>
      </c>
      <c r="F78" s="59">
        <f t="shared" si="4"/>
        <v>1621139.8801425351</v>
      </c>
      <c r="G78" s="59">
        <f t="shared" si="7"/>
        <v>7443525.5947969705</v>
      </c>
      <c r="H78" s="59">
        <f t="shared" si="5"/>
        <v>1563140.3749073637</v>
      </c>
      <c r="I78" s="59">
        <f t="shared" si="6"/>
        <v>9006665.9697043337</v>
      </c>
      <c r="J78" s="39"/>
      <c r="L78" s="24">
        <f t="shared" ca="1" si="1"/>
        <v>46798.083342999933</v>
      </c>
      <c r="M78" s="26">
        <f t="shared" si="0"/>
        <v>7443525.5947969705</v>
      </c>
    </row>
    <row r="79" spans="2:13" ht="22.5" customHeight="1" x14ac:dyDescent="0.25">
      <c r="B79" s="37"/>
      <c r="C79" s="50">
        <v>29</v>
      </c>
      <c r="D79" s="58">
        <f t="shared" si="3"/>
        <v>19774559.761280324</v>
      </c>
      <c r="E79" s="58">
        <f t="shared" si="2"/>
        <v>6191136.8099158825</v>
      </c>
      <c r="F79" s="58">
        <f t="shared" si="4"/>
        <v>1252388.7848810877</v>
      </c>
      <c r="G79" s="58">
        <f t="shared" si="7"/>
        <v>7443525.5947969705</v>
      </c>
      <c r="H79" s="58">
        <f t="shared" si="5"/>
        <v>1563140.3749073637</v>
      </c>
      <c r="I79" s="58">
        <f t="shared" si="6"/>
        <v>9006665.9697043337</v>
      </c>
      <c r="J79" s="39"/>
      <c r="L79" s="24">
        <f t="shared" ca="1" si="1"/>
        <v>46828.500009999931</v>
      </c>
      <c r="M79" s="26">
        <f t="shared" si="0"/>
        <v>7443525.5947969705</v>
      </c>
    </row>
    <row r="80" spans="2:13" ht="22.5" customHeight="1" x14ac:dyDescent="0.25">
      <c r="B80" s="37"/>
      <c r="C80" s="51">
        <v>30</v>
      </c>
      <c r="D80" s="59">
        <f t="shared" si="3"/>
        <v>13583422.951364443</v>
      </c>
      <c r="E80" s="59">
        <f t="shared" si="2"/>
        <v>6583242.1412105551</v>
      </c>
      <c r="F80" s="59">
        <f t="shared" si="4"/>
        <v>860283.45358641492</v>
      </c>
      <c r="G80" s="59">
        <f t="shared" si="7"/>
        <v>7443525.5947969705</v>
      </c>
      <c r="H80" s="59">
        <f t="shared" si="5"/>
        <v>1563140.3749073637</v>
      </c>
      <c r="I80" s="59">
        <f t="shared" si="6"/>
        <v>9006665.9697043337</v>
      </c>
      <c r="J80" s="39"/>
      <c r="L80" s="24">
        <f t="shared" ca="1" si="1"/>
        <v>46858.916676999928</v>
      </c>
      <c r="M80" s="26">
        <f t="shared" si="0"/>
        <v>7443525.5947969705</v>
      </c>
    </row>
    <row r="81" spans="1:13" ht="22.5" customHeight="1" x14ac:dyDescent="0.25">
      <c r="B81" s="37"/>
      <c r="C81" s="52">
        <v>31</v>
      </c>
      <c r="D81" s="60">
        <f t="shared" si="3"/>
        <v>7000180.8101538876</v>
      </c>
      <c r="E81" s="75">
        <f>PPMT($G$21,C81,$G$24,-$G$16)</f>
        <v>7000180.8101538904</v>
      </c>
      <c r="F81" s="60">
        <f t="shared" si="4"/>
        <v>443344.78464307974</v>
      </c>
      <c r="G81" s="60">
        <f t="shared" si="7"/>
        <v>7443525.5947969705</v>
      </c>
      <c r="H81" s="60">
        <f t="shared" si="5"/>
        <v>1563140.3749073637</v>
      </c>
      <c r="I81" s="60">
        <f>G81+H81</f>
        <v>9006665.9697043337</v>
      </c>
      <c r="J81" s="39"/>
      <c r="M81" s="26"/>
    </row>
    <row r="82" spans="1:13" x14ac:dyDescent="0.25">
      <c r="B82" s="37"/>
      <c r="C82" s="53"/>
      <c r="D82" s="40"/>
      <c r="E82" s="38"/>
      <c r="F82" s="38"/>
      <c r="G82" s="38"/>
      <c r="H82" s="38"/>
      <c r="I82" s="38"/>
      <c r="J82" s="39"/>
    </row>
    <row r="83" spans="1:13" x14ac:dyDescent="0.25">
      <c r="B83" s="37"/>
      <c r="C83" s="38"/>
      <c r="D83" s="40"/>
      <c r="E83" s="38"/>
      <c r="F83" s="38"/>
      <c r="G83" s="38"/>
      <c r="H83" s="38"/>
      <c r="I83" s="38"/>
      <c r="J83" s="39"/>
    </row>
    <row r="84" spans="1:13" s="57" customFormat="1" ht="344.25" customHeight="1" x14ac:dyDescent="0.35">
      <c r="A84" s="54"/>
      <c r="B84" s="55"/>
      <c r="C84" s="101" t="s">
        <v>53</v>
      </c>
      <c r="D84" s="101"/>
      <c r="E84" s="101"/>
      <c r="F84" s="101"/>
      <c r="G84" s="101"/>
      <c r="H84" s="101"/>
      <c r="I84" s="101"/>
      <c r="J84" s="56"/>
      <c r="K84" s="54"/>
    </row>
    <row r="85" spans="1:13" ht="24.75" customHeight="1" thickBot="1" x14ac:dyDescent="0.3">
      <c r="B85" s="34"/>
      <c r="C85" s="35"/>
      <c r="D85" s="41"/>
      <c r="E85" s="35"/>
      <c r="F85" s="35"/>
      <c r="G85" s="35"/>
      <c r="H85" s="35"/>
      <c r="I85" s="35"/>
      <c r="J85" s="36"/>
    </row>
    <row r="86" spans="1:13" s="1" customFormat="1" x14ac:dyDescent="0.25">
      <c r="B86" s="42"/>
      <c r="C86" s="43"/>
      <c r="D86" s="44"/>
      <c r="E86" s="43"/>
      <c r="F86" s="43"/>
      <c r="G86" s="43"/>
      <c r="H86" s="43"/>
      <c r="I86" s="43"/>
      <c r="J86" s="45"/>
    </row>
  </sheetData>
  <sheetProtection algorithmName="SHA-512" hashValue="On6RbwvRTBl5oETigxKk54D1iAqvGNslX4KuN8GsHcqDD4uCnuQCVO4eiS/YFKAqcuWAM15FNGXmvW/n8BmrVg==" saltValue="i/ydFrGOE4LmL3k++hh/Fw==" spinCount="100000" sheet="1" objects="1" scenarios="1"/>
  <mergeCells count="42">
    <mergeCell ref="G46:H46"/>
    <mergeCell ref="D42:E42"/>
    <mergeCell ref="D43:E43"/>
    <mergeCell ref="C44:D44"/>
    <mergeCell ref="C45:D45"/>
    <mergeCell ref="E14:F14"/>
    <mergeCell ref="G14:H14"/>
    <mergeCell ref="E16:F16"/>
    <mergeCell ref="E15:F15"/>
    <mergeCell ref="E18:F18"/>
    <mergeCell ref="G15:H15"/>
    <mergeCell ref="G23:H23"/>
    <mergeCell ref="B30:J31"/>
    <mergeCell ref="C84:I84"/>
    <mergeCell ref="C47:D47"/>
    <mergeCell ref="C46:D46"/>
    <mergeCell ref="G41:H41"/>
    <mergeCell ref="G42:H42"/>
    <mergeCell ref="C33:E39"/>
    <mergeCell ref="D41:E41"/>
    <mergeCell ref="F33:H39"/>
    <mergeCell ref="E23:F23"/>
    <mergeCell ref="E25:F25"/>
    <mergeCell ref="G25:H25"/>
    <mergeCell ref="G43:H43"/>
    <mergeCell ref="G44:H44"/>
    <mergeCell ref="G45:H45"/>
    <mergeCell ref="B2:J3"/>
    <mergeCell ref="E5:F5"/>
    <mergeCell ref="E6:F6"/>
    <mergeCell ref="E12:F12"/>
    <mergeCell ref="E13:F13"/>
    <mergeCell ref="E10:F10"/>
    <mergeCell ref="G10:H10"/>
    <mergeCell ref="G5:H5"/>
    <mergeCell ref="G6:H6"/>
    <mergeCell ref="G12:H12"/>
    <mergeCell ref="G13:H13"/>
    <mergeCell ref="E9:F9"/>
    <mergeCell ref="E11:F11"/>
    <mergeCell ref="G11:H11"/>
    <mergeCell ref="G9:H9"/>
  </mergeCells>
  <dataValidations count="6">
    <dataValidation type="list" allowBlank="1" showInputMessage="1" showErrorMessage="1" sqref="G25:G26">
      <formula1>$N$50:$N$51</formula1>
    </dataValidation>
    <dataValidation type="list" allowBlank="1" showInputMessage="1" showErrorMessage="1" sqref="G15">
      <formula1>$N$53:$N$54</formula1>
    </dataValidation>
    <dataValidation type="list" allowBlank="1" showInputMessage="1" showErrorMessage="1" sqref="G5">
      <formula1>$N$32:$N$43</formula1>
    </dataValidation>
    <dataValidation type="whole" operator="greaterThan" allowBlank="1" showInputMessage="1" showErrorMessage="1" errorTitle="Error" error="Debe ingresar solo el dia del mes en número, ejemplo 5" sqref="G6:H6">
      <formula1>0</formula1>
    </dataValidation>
    <dataValidation type="whole" operator="greaterThan" allowBlank="1" showInputMessage="1" showErrorMessage="1" errorTitle="Error" error="Debe ingresar un número entero, ejemplo 1" sqref="G11:H11">
      <formula1>0</formula1>
    </dataValidation>
    <dataValidation operator="lessThan" allowBlank="1" showInputMessage="1" showErrorMessage="1" errorTitle="Error" error="Debe ingresar el monto con decimales, ejemplo $100.000.000,00" sqref="G12:H14"/>
  </dataValidations>
  <pageMargins left="0.7" right="0.7" top="0.75" bottom="0.75" header="0.3" footer="0.3"/>
  <pageSetup scale="47" orientation="portrait" r:id="rId1"/>
  <ignoredErrors>
    <ignoredError sqref="H51:H81"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Leasing_BancoJulio</vt:lpstr>
      <vt:lpstr>Leasing_BancoJulio!Área_de_impresión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Agustin Boneu</dc:creator>
  <cp:lastModifiedBy>Rocio Antonela Marieschi</cp:lastModifiedBy>
  <cp:lastPrinted>2025-03-11T14:31:25Z</cp:lastPrinted>
  <dcterms:created xsi:type="dcterms:W3CDTF">2025-02-24T13:07:29Z</dcterms:created>
  <dcterms:modified xsi:type="dcterms:W3CDTF">2025-09-16T12:26:58Z</dcterms:modified>
</cp:coreProperties>
</file>